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135" windowHeight="8520" activeTab="3"/>
  </bookViews>
  <sheets>
    <sheet name="Sundurliðun viðauka nr.2" sheetId="1" r:id="rId1"/>
    <sheet name="málaflokkar" sheetId="2" r:id="rId2"/>
    <sheet name="rekst - sjóðstr - efnah - aðals" sheetId="3" r:id="rId3"/>
    <sheet name="rekst - sjóðstr - efnah - eigna" sheetId="4" r:id="rId4"/>
    <sheet name="rekst - sjóðstr - efnah - faste" sheetId="5" r:id="rId5"/>
    <sheet name="rekst - sjóðstr - efnah - Byggð" sheetId="6" r:id="rId6"/>
    <sheet name="rekst - sjóðstr - efnah - milli" sheetId="7" r:id="rId7"/>
    <sheet name="rekst - sjóðstr - efnah - A-hlu" sheetId="8" r:id="rId8"/>
    <sheet name="rekst - sjóðstr - efnah - F.ehf" sheetId="9" r:id="rId9"/>
    <sheet name="rekst - sjóðstr - efnah - Háhit" sheetId="10" r:id="rId10"/>
    <sheet name="rekst - sjóðstr - efnah - Gáma" sheetId="11" r:id="rId11"/>
    <sheet name="rekst - sjóðstr - efnah - Höfði" sheetId="12" r:id="rId12"/>
    <sheet name="rekst - sjóðstr - efnah - B-hlu" sheetId="13" r:id="rId13"/>
    <sheet name="rekst - sjóðstr - efnah - mill " sheetId="14" r:id="rId14"/>
    <sheet name="rekst - sjóðstr - efnah - A-B h" sheetId="15" r:id="rId15"/>
    <sheet name="fjárfesting" sheetId="16" r:id="rId16"/>
    <sheet name="Sheet1" sheetId="17" r:id="rId17"/>
  </sheets>
  <definedNames/>
  <calcPr fullCalcOnLoad="1"/>
</workbook>
</file>

<file path=xl/comments3.xml><?xml version="1.0" encoding="utf-8"?>
<comments xmlns="http://schemas.openxmlformats.org/spreadsheetml/2006/main">
  <authors>
    <author>Andr?s ?lafsson</author>
  </authors>
  <commentList>
    <comment ref="D10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liðir v/Alþingiskosninga dregið út kr. 1.030.000
</t>
        </r>
      </text>
    </comment>
    <comment ref="D15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leig v/Alþingiskosninga dregið út kr. 1.030.000
</t>
        </r>
      </text>
    </comment>
  </commentList>
</comments>
</file>

<file path=xl/comments4.xml><?xml version="1.0" encoding="utf-8"?>
<comments xmlns="http://schemas.openxmlformats.org/spreadsheetml/2006/main">
  <authors>
    <author>Andr?s ?lafsson</author>
  </authors>
  <commentList>
    <comment ref="D15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leiga kr. (765.129) v/31900</t>
        </r>
      </text>
    </comment>
    <comment ref="D10" authorId="0">
      <text>
        <r>
          <rPr>
            <b/>
            <sz val="9"/>
            <rFont val="Tahoma"/>
            <family val="0"/>
          </rPr>
          <t>Andrés Ólafsson:</t>
        </r>
        <r>
          <rPr>
            <sz val="9"/>
            <rFont val="Tahoma"/>
            <family val="0"/>
          </rPr>
          <t xml:space="preserve">
Innri liega kr. 765.129 v/31810
</t>
        </r>
      </text>
    </comment>
  </commentList>
</comments>
</file>

<file path=xl/sharedStrings.xml><?xml version="1.0" encoding="utf-8"?>
<sst xmlns="http://schemas.openxmlformats.org/spreadsheetml/2006/main" count="6350" uniqueCount="1704">
  <si>
    <t>Skýring</t>
  </si>
  <si>
    <t xml:space="preserve"> </t>
  </si>
  <si>
    <t>Samtals</t>
  </si>
  <si>
    <t>Fjárfesting</t>
  </si>
  <si>
    <t>Styrkir 2015 - Grundaskóli v/söngleiks</t>
  </si>
  <si>
    <t>Gö2014-05</t>
  </si>
  <si>
    <t>Framkv.áætl. - Breið útivistarsvæði</t>
  </si>
  <si>
    <t>Baski - þrettándinn á malarvellinum</t>
  </si>
  <si>
    <t>Fjárhags-</t>
  </si>
  <si>
    <t>Nr.</t>
  </si>
  <si>
    <t>Málaflokkur</t>
  </si>
  <si>
    <t>Rekstrar-</t>
  </si>
  <si>
    <t>áætlun</t>
  </si>
  <si>
    <t>niðurstaða</t>
  </si>
  <si>
    <t>A-hluti</t>
  </si>
  <si>
    <t>00</t>
  </si>
  <si>
    <t>Skatttekjur</t>
  </si>
  <si>
    <t>02</t>
  </si>
  <si>
    <t>Félagsþjónusta</t>
  </si>
  <si>
    <t>03</t>
  </si>
  <si>
    <t>Heilbrigðismál</t>
  </si>
  <si>
    <t>04</t>
  </si>
  <si>
    <t>Fræðslu- og uppeldismál</t>
  </si>
  <si>
    <t>05</t>
  </si>
  <si>
    <t>Menningarmál</t>
  </si>
  <si>
    <t>06</t>
  </si>
  <si>
    <t>Æskulýðs- og íþróttamál</t>
  </si>
  <si>
    <t>07</t>
  </si>
  <si>
    <t>08</t>
  </si>
  <si>
    <t>Hreinlætismál</t>
  </si>
  <si>
    <t>09</t>
  </si>
  <si>
    <t>Umhverfismál</t>
  </si>
  <si>
    <t>Atvinnumál</t>
  </si>
  <si>
    <t>Sameiginlegur kostnaður</t>
  </si>
  <si>
    <t>Millifærslur</t>
  </si>
  <si>
    <t>Sjóðir, fyrirtæki og stofnanir í B-hluta</t>
  </si>
  <si>
    <t>53</t>
  </si>
  <si>
    <t>B- hluti</t>
  </si>
  <si>
    <t>Rekstur</t>
  </si>
  <si>
    <t>Útfærð ákvörðun hvernig viðauka er mætt</t>
  </si>
  <si>
    <t>Aðgerð</t>
  </si>
  <si>
    <t>Handbært fé</t>
  </si>
  <si>
    <t>29</t>
  </si>
  <si>
    <t>Efnahagur - aðalsjóður</t>
  </si>
  <si>
    <t>32</t>
  </si>
  <si>
    <t>Eignasjóður - efnahagur</t>
  </si>
  <si>
    <t>Lántaka - langtímalán</t>
  </si>
  <si>
    <t>Sala fastafjármuna</t>
  </si>
  <si>
    <t>breyting</t>
  </si>
  <si>
    <t>Dags</t>
  </si>
  <si>
    <t xml:space="preserve">Deild </t>
  </si>
  <si>
    <t>teg</t>
  </si>
  <si>
    <t>Verkefni</t>
  </si>
  <si>
    <t>Upphæð</t>
  </si>
  <si>
    <t>05 Menningamál</t>
  </si>
  <si>
    <t>21 Sameiginlegur kostnaður</t>
  </si>
  <si>
    <t>Samantekt.</t>
  </si>
  <si>
    <t>A- hluti</t>
  </si>
  <si>
    <t>launakostnaður</t>
  </si>
  <si>
    <t>vörukaup</t>
  </si>
  <si>
    <t>A- hluti alls</t>
  </si>
  <si>
    <t>Vörukaup</t>
  </si>
  <si>
    <t>Þjónusta</t>
  </si>
  <si>
    <t>B- hluti alls.</t>
  </si>
  <si>
    <t>A- og B- hluti alls</t>
  </si>
  <si>
    <t>21400</t>
  </si>
  <si>
    <t>4390</t>
  </si>
  <si>
    <t>Bæjarráð tölul. 12</t>
  </si>
  <si>
    <t>20 Annar kostnaður</t>
  </si>
  <si>
    <t>20830</t>
  </si>
  <si>
    <t>4995</t>
  </si>
  <si>
    <t>06520</t>
  </si>
  <si>
    <t>1690</t>
  </si>
  <si>
    <t>Bæjarráð tölul. 14</t>
  </si>
  <si>
    <t>4070</t>
  </si>
  <si>
    <t>Bæjarráð tölul. 6</t>
  </si>
  <si>
    <t>04 Fræðslu- og uppeldismál</t>
  </si>
  <si>
    <t>04120</t>
  </si>
  <si>
    <t>4660</t>
  </si>
  <si>
    <t>21010</t>
  </si>
  <si>
    <t>21540</t>
  </si>
  <si>
    <t>4220</t>
  </si>
  <si>
    <t>09230</t>
  </si>
  <si>
    <t>5722</t>
  </si>
  <si>
    <t>Skaðabótakrafa v/Heiðarbraut 40 v/skipulag</t>
  </si>
  <si>
    <t>Bæjarráð tölul. 1</t>
  </si>
  <si>
    <t>Bæjarráð tölul. 5</t>
  </si>
  <si>
    <t>4980</t>
  </si>
  <si>
    <t>05890</t>
  </si>
  <si>
    <t>5948</t>
  </si>
  <si>
    <t>Bæjarráð tölul. 13</t>
  </si>
  <si>
    <t>04230</t>
  </si>
  <si>
    <t>06890</t>
  </si>
  <si>
    <t>05810</t>
  </si>
  <si>
    <t>Styrkir 2015 - Skagaleikflokkurinn v/uppsetn. sýn.</t>
  </si>
  <si>
    <t>02 Félagsþjónusta</t>
  </si>
  <si>
    <t>02890</t>
  </si>
  <si>
    <t>31 Eignasjóður</t>
  </si>
  <si>
    <t>32100</t>
  </si>
  <si>
    <t>7024</t>
  </si>
  <si>
    <t>7026</t>
  </si>
  <si>
    <t>Eignasjóður - fjárfesting</t>
  </si>
  <si>
    <t>5857</t>
  </si>
  <si>
    <t>Bæjarráð tölul. 10</t>
  </si>
  <si>
    <t>Bæjarráð tölul. 3</t>
  </si>
  <si>
    <t>04160</t>
  </si>
  <si>
    <t>04140</t>
  </si>
  <si>
    <t>04130</t>
  </si>
  <si>
    <t>06510</t>
  </si>
  <si>
    <t>Bæjarráð tölul. 9</t>
  </si>
  <si>
    <t>04220</t>
  </si>
  <si>
    <t>02480</t>
  </si>
  <si>
    <t>04020</t>
  </si>
  <si>
    <t>Tómstundastarf aldraðra -  launaliður</t>
  </si>
  <si>
    <t>02 Félagsþjónusta samtals</t>
  </si>
  <si>
    <t>Ýmsir styrkir - styrkir og framlög</t>
  </si>
  <si>
    <t>Skólaskrifstofa - þjónustu og orkukaup</t>
  </si>
  <si>
    <t>Vallarsel - launaliður</t>
  </si>
  <si>
    <t>Vallarsel - þjónustu og orkukaup</t>
  </si>
  <si>
    <t>Vallarsel samtals</t>
  </si>
  <si>
    <t>Teigasel - launaliður</t>
  </si>
  <si>
    <t>Garðasel - launaliður</t>
  </si>
  <si>
    <t>Akrasel - launaliður</t>
  </si>
  <si>
    <t>04 Fræðslu- og uppeldismál samtals</t>
  </si>
  <si>
    <t>Brekkubæjarskóli - þjónustu og orkukaup</t>
  </si>
  <si>
    <t>Grundaskóli - styrkir og framlög</t>
  </si>
  <si>
    <t>Skagaleikflokkurinn - styrkir og framlög</t>
  </si>
  <si>
    <t>05 Menningarmál samtals</t>
  </si>
  <si>
    <t>Íþróttamiðstöð Jaðarsbökkum - launaliður</t>
  </si>
  <si>
    <t>Íþróttahús Vesturgötu - launaliður</t>
  </si>
  <si>
    <t>06 Æskulýðs- og íþróttamál</t>
  </si>
  <si>
    <t>Deiliskipulag -  annar rekstrarkostnaður</t>
  </si>
  <si>
    <t>09 Skipulags- og byggingarmál</t>
  </si>
  <si>
    <t>13 Atvinnu- og ferðamál</t>
  </si>
  <si>
    <t>Upplýsingarmiðstöð ferðamanna - þjónustu og orkukaup</t>
  </si>
  <si>
    <t>13 Atvinnu- og ferðamál samtals</t>
  </si>
  <si>
    <t>óráðstafað samkvæmt áætlun - launaliður</t>
  </si>
  <si>
    <t>Óráðstafað samkvæmt áætlun - þjónustu og orkukaup</t>
  </si>
  <si>
    <t>Óráðstafað samkvæmt áætlun - styrkir og framlög</t>
  </si>
  <si>
    <t>Bæjarstjórn - þjónustu og orkukaup</t>
  </si>
  <si>
    <t>Bæjarstjórn - eignakaup</t>
  </si>
  <si>
    <t>Bæjarstjórn samtals</t>
  </si>
  <si>
    <t>Gjafir og viðkenningar - þjónustu og orkukaup</t>
  </si>
  <si>
    <t>Skrifstofa sveitarfélagsins - þjónustu og orkukaup</t>
  </si>
  <si>
    <t>21 Sameiginlegur kostnaður samtals</t>
  </si>
  <si>
    <t>þjónustu og orkukaup</t>
  </si>
  <si>
    <t>styrkir og framlög</t>
  </si>
  <si>
    <t>eignakaup</t>
  </si>
  <si>
    <t>annar rekstrarkostnaður</t>
  </si>
  <si>
    <t>02500</t>
  </si>
  <si>
    <t>Skagastaðir - aukinn útgjöld</t>
  </si>
  <si>
    <t>Skagastaðir - launaliður</t>
  </si>
  <si>
    <t>02100</t>
  </si>
  <si>
    <t>0980</t>
  </si>
  <si>
    <t>Átak í atvinnumálum - flutt á félagsmál v/endurg</t>
  </si>
  <si>
    <t>Tillaga fjámálast/sviðsst.</t>
  </si>
  <si>
    <t>1130</t>
  </si>
  <si>
    <t>Átak í atvinnumálum - flutt á félagsmál v/laun</t>
  </si>
  <si>
    <t>1810</t>
  </si>
  <si>
    <t>Átak í atvinnumálum - flutt á félagsmál v/trygg</t>
  </si>
  <si>
    <t>1815</t>
  </si>
  <si>
    <t>Átak í atvinnumálum - flutt á félagsmál v/mann</t>
  </si>
  <si>
    <t>1820</t>
  </si>
  <si>
    <t>Átak í atvinnumálum - flutt á félagsmál v/mótf</t>
  </si>
  <si>
    <t>1840</t>
  </si>
  <si>
    <t>Átak í atvinnumálum - flutt á félagsmál v/fjöl</t>
  </si>
  <si>
    <t>1850</t>
  </si>
  <si>
    <t>Átak í atvinnumálum - flutt á félagsmál v/endur</t>
  </si>
  <si>
    <t>1910</t>
  </si>
  <si>
    <t>Átak í atvinnumálum - flutt á félagsmál v/orlofs</t>
  </si>
  <si>
    <t>1940</t>
  </si>
  <si>
    <t>Átak í atvinnumálum - flutt á félagsmál v/starfs</t>
  </si>
  <si>
    <t>Virkniúrræði - endurgreiðslur</t>
  </si>
  <si>
    <t>Virkniúrræði - launaliður</t>
  </si>
  <si>
    <t>Virkniúrræði samtals</t>
  </si>
  <si>
    <t>13640</t>
  </si>
  <si>
    <t>13080</t>
  </si>
  <si>
    <t>Átak í atvinnumálum - endurgreiðslur</t>
  </si>
  <si>
    <t>Átak í atvinnumál - launaliður</t>
  </si>
  <si>
    <t>Átak í atvinnumálum samtals</t>
  </si>
  <si>
    <t>endurgreiðslur</t>
  </si>
  <si>
    <t>02240</t>
  </si>
  <si>
    <t>4430</t>
  </si>
  <si>
    <t>Fjöliðjan - innri leiga</t>
  </si>
  <si>
    <t>Tillaga deildarst. Bókh.</t>
  </si>
  <si>
    <t>Fjöliðjan búnaður- innri leiga</t>
  </si>
  <si>
    <t>02260</t>
  </si>
  <si>
    <t>Sambýlið Laugarbraut - innri leiga</t>
  </si>
  <si>
    <t>Tillaga deildarst.bókh.</t>
  </si>
  <si>
    <t>Vallarsel - innri leiga</t>
  </si>
  <si>
    <t>Vallarsel búnaður - innri leiga</t>
  </si>
  <si>
    <t>Teigasel - innri leiga</t>
  </si>
  <si>
    <t>Tillaga deildarst.bókh</t>
  </si>
  <si>
    <t>Teigasel samtals</t>
  </si>
  <si>
    <t>Garðasel - innri leiga</t>
  </si>
  <si>
    <t>Garðasel samtals</t>
  </si>
  <si>
    <t>Akrasel - innri leiga</t>
  </si>
  <si>
    <t>Akrasel búnaður - innri leiga</t>
  </si>
  <si>
    <t>Akrasel samtals</t>
  </si>
  <si>
    <t>Brekkubæjarskóli - innri leiga</t>
  </si>
  <si>
    <t>Brekkubæjarskóli samtals</t>
  </si>
  <si>
    <t>Grundaskóli - innri leiga</t>
  </si>
  <si>
    <t>Grundaskóli búnaður - innri leiga</t>
  </si>
  <si>
    <t>Grundaskóli samtals</t>
  </si>
  <si>
    <t>04410</t>
  </si>
  <si>
    <t>FVA - innri leiga</t>
  </si>
  <si>
    <t>04510</t>
  </si>
  <si>
    <t>Tónlistarskólinn - innri leiga</t>
  </si>
  <si>
    <t>05210</t>
  </si>
  <si>
    <t>Bókasafn - innri leiga</t>
  </si>
  <si>
    <t>Bókasafn búnaður - innri leiga</t>
  </si>
  <si>
    <t>Tónlistarskóli - innri leiga</t>
  </si>
  <si>
    <t>05530</t>
  </si>
  <si>
    <t>Bíóhöllin - innri leiga</t>
  </si>
  <si>
    <t>Bíóhöllin búnaður - innri leiga</t>
  </si>
  <si>
    <t>06110</t>
  </si>
  <si>
    <t>Leikvellir - innri leiga</t>
  </si>
  <si>
    <t>06150</t>
  </si>
  <si>
    <t>Sparkvellir - innri leiga</t>
  </si>
  <si>
    <t>Tillaga deildarfst.bókh</t>
  </si>
  <si>
    <t>06270</t>
  </si>
  <si>
    <t>06310</t>
  </si>
  <si>
    <t>Þjóðbraut 13, Þorpið - innri leiga</t>
  </si>
  <si>
    <t>Íþróttam. Jaðarbökkum - innri leiga</t>
  </si>
  <si>
    <t>íþróttam. Jaðarsbökkum - innri leiga</t>
  </si>
  <si>
    <t>Íþróttamiðstöð Jaðarsbökkum samtals</t>
  </si>
  <si>
    <t>íþróttahús Vesturgötu - innri leiga</t>
  </si>
  <si>
    <t>Íþróttahús Vesturgötu - innri leiga</t>
  </si>
  <si>
    <t>Íþróttahús Vesturgötu samtals</t>
  </si>
  <si>
    <t>06530</t>
  </si>
  <si>
    <t>Akraneshöllin - innri leiga</t>
  </si>
  <si>
    <t>Akraneshöllin búnaður - innri leiga</t>
  </si>
  <si>
    <t>06550</t>
  </si>
  <si>
    <t>Bjarnalaug - innri leiga</t>
  </si>
  <si>
    <t>Bjarnalaug -innri leiga</t>
  </si>
  <si>
    <t>06610</t>
  </si>
  <si>
    <t>Stúka, Akranesvelli - innri leiga</t>
  </si>
  <si>
    <t>Stúka Akranesvelli - innri leiga</t>
  </si>
  <si>
    <t>06630</t>
  </si>
  <si>
    <t>Golfvöllur Garðavöllur - innri leiga</t>
  </si>
  <si>
    <t>07 Brunamál og almannavarnir</t>
  </si>
  <si>
    <t>07220</t>
  </si>
  <si>
    <t>Slökkvibílar - innri leiga</t>
  </si>
  <si>
    <t>07230</t>
  </si>
  <si>
    <t>Slökkvistöð - innri leiga</t>
  </si>
  <si>
    <t>10 Umferðar- og samgöngumál</t>
  </si>
  <si>
    <t>10300</t>
  </si>
  <si>
    <t>Gatnakerfi - innri leiga</t>
  </si>
  <si>
    <t>10580</t>
  </si>
  <si>
    <t>Umferðaljós - innri leiga</t>
  </si>
  <si>
    <t>10590</t>
  </si>
  <si>
    <t>Götulýsing - innri leiga</t>
  </si>
  <si>
    <t>11050</t>
  </si>
  <si>
    <t>Gróðrarstöð - innri leiga</t>
  </si>
  <si>
    <t>11 Umhverfismál</t>
  </si>
  <si>
    <t>02020</t>
  </si>
  <si>
    <t>Skrifstofa velferðar- og mannrétt - innri leiga</t>
  </si>
  <si>
    <t>Skrifstofa velferðar- mannréttindasviðs - innri leiga</t>
  </si>
  <si>
    <t>Skólaskrifstofa - innri leiga</t>
  </si>
  <si>
    <t>Skólaskrifstofa samtals</t>
  </si>
  <si>
    <t>09070</t>
  </si>
  <si>
    <t>Skiplagsstofa - innri leiga</t>
  </si>
  <si>
    <t>Skipulags- og byggingarmál - innri leiga</t>
  </si>
  <si>
    <t>Bæjarstjórn - innri leiga</t>
  </si>
  <si>
    <t>Skrifstofa sveitarfélagsins - innri leiga</t>
  </si>
  <si>
    <t>Skrifstofa sveitarfélagsins samtals</t>
  </si>
  <si>
    <t>31900</t>
  </si>
  <si>
    <t>Upplýsingarmiðstöð ferðamanna - innri leiga</t>
  </si>
  <si>
    <t>Skagastaðir - innri leiga</t>
  </si>
  <si>
    <t>Skagastaðir  samtals</t>
  </si>
  <si>
    <t>02550</t>
  </si>
  <si>
    <t>Heimaþjónusta - innri leiga</t>
  </si>
  <si>
    <t>02520</t>
  </si>
  <si>
    <t>Hver - innri leiga</t>
  </si>
  <si>
    <t>Endurhæfingarhúsið "Hver" - innri leiga</t>
  </si>
  <si>
    <t>Skrifstofa sveitarfélagsins búnaður -innri leiga</t>
  </si>
  <si>
    <t>Sendibifreiðar - innri leiga</t>
  </si>
  <si>
    <t>Áhaldahús - innri leiga</t>
  </si>
  <si>
    <t>31030</t>
  </si>
  <si>
    <t>0377</t>
  </si>
  <si>
    <t>Gatnakerfi - önnur eignaleiga millifærð</t>
  </si>
  <si>
    <t>Gatnakerfi - arður af eignum</t>
  </si>
  <si>
    <t>31050</t>
  </si>
  <si>
    <t>Umferðaljós - önnur eignaleiga millifærð</t>
  </si>
  <si>
    <t>Umferðaljós - arður af eignum</t>
  </si>
  <si>
    <t>31060</t>
  </si>
  <si>
    <t>Götulýsing - önnur eignaleiga millifærð</t>
  </si>
  <si>
    <t>Götulýsing - arður af eignum</t>
  </si>
  <si>
    <t>31110</t>
  </si>
  <si>
    <t>Leikvellir - arður af eignum</t>
  </si>
  <si>
    <t>31210</t>
  </si>
  <si>
    <t>Bókasafn - önnur eignaleiga millifærð</t>
  </si>
  <si>
    <t>Bókasafn - arður af eignum</t>
  </si>
  <si>
    <t>0376</t>
  </si>
  <si>
    <t>Leikvellir - húsaleiga millifærð</t>
  </si>
  <si>
    <t>Bókasafn - húsaleiga millifærð</t>
  </si>
  <si>
    <t>31240</t>
  </si>
  <si>
    <t>Áhaldahús - húsaleiga millifærð</t>
  </si>
  <si>
    <t>Áhaldahús - arður af eignum</t>
  </si>
  <si>
    <t>31250</t>
  </si>
  <si>
    <t>Gróðrarstöð - húsaleiga millifærð</t>
  </si>
  <si>
    <t>Gróðrarstöð - arður af eignum</t>
  </si>
  <si>
    <t>31370</t>
  </si>
  <si>
    <t>Bíóhöllin - húsaleiga millifærð</t>
  </si>
  <si>
    <t>Bíóhöllin - önnur eignaleiga millifærð</t>
  </si>
  <si>
    <t>Bíóhöllin - arður af eignum</t>
  </si>
  <si>
    <t>31410</t>
  </si>
  <si>
    <t>Brekkubæjarskóli - húsaleiga millifærð</t>
  </si>
  <si>
    <t>Brekkubæjarskóli - arður af eignum</t>
  </si>
  <si>
    <t>31420</t>
  </si>
  <si>
    <t>Grundaskóli - húsaleiga millifærð</t>
  </si>
  <si>
    <t>Grundaskóli - önnur eignaleiga millifærð</t>
  </si>
  <si>
    <t>Grundaskóli - arður af eignum</t>
  </si>
  <si>
    <t>31430</t>
  </si>
  <si>
    <t>Þjóðbraut 13, Þorpið - húsaleiga millifærð</t>
  </si>
  <si>
    <t>Þjóðbraut 13, Þorpið - arður af eignum</t>
  </si>
  <si>
    <t>31440</t>
  </si>
  <si>
    <t>FVA - húsaleiga millifærð</t>
  </si>
  <si>
    <t>FVA - arður af eignum</t>
  </si>
  <si>
    <t>31450</t>
  </si>
  <si>
    <t>Vallarsel - húsaleiga millifærð</t>
  </si>
  <si>
    <t>Vallarsel - önnur eignaleiga millifærð</t>
  </si>
  <si>
    <t>Vallarsel - arður af eignum</t>
  </si>
  <si>
    <t>31460</t>
  </si>
  <si>
    <t>Garðasel - húsaleiga millifærð</t>
  </si>
  <si>
    <t>Garðasel - arður af eignum</t>
  </si>
  <si>
    <t>31470</t>
  </si>
  <si>
    <t>Teigasel - húsaleiga millifærð</t>
  </si>
  <si>
    <t>Teigasel - arður af eignum</t>
  </si>
  <si>
    <t>31480</t>
  </si>
  <si>
    <t>Akrasel - húsaleiga millifærð</t>
  </si>
  <si>
    <t>Akrasel - önnur eignaleiga millifærð</t>
  </si>
  <si>
    <t>Akrasel - arður af eignum</t>
  </si>
  <si>
    <t>31490</t>
  </si>
  <si>
    <t>Tónlistarskóli - húsaleiga millifærð</t>
  </si>
  <si>
    <t>Tónlistarskóli - arður af eignum</t>
  </si>
  <si>
    <t>31510</t>
  </si>
  <si>
    <t>Bjarnalaug - húsaleiga millifærð</t>
  </si>
  <si>
    <t>Bjarnalaug - arður af eignum</t>
  </si>
  <si>
    <t>31530</t>
  </si>
  <si>
    <t>Íþróttamiðstöð - húsaleiga millifærð</t>
  </si>
  <si>
    <t>íþróttamiðstöð - arður af eignum</t>
  </si>
  <si>
    <t>31540</t>
  </si>
  <si>
    <t>Akraneshöll - húsaleiga millifærð</t>
  </si>
  <si>
    <t>Akraneshöll - önnur eignaleiga millifærð</t>
  </si>
  <si>
    <t>Akraneshöll - arður af eignum</t>
  </si>
  <si>
    <t>31550</t>
  </si>
  <si>
    <t>Íþróttahús Vesturg. - húsaleiga millifærð</t>
  </si>
  <si>
    <t>Íþróttahús Vesturgötu - arður af eignum</t>
  </si>
  <si>
    <t>31570</t>
  </si>
  <si>
    <t>Skrifst. Velf.- og mannr. - húsaleiga millifærð</t>
  </si>
  <si>
    <t>Skólaskrifstofa - húsaleiga millifærð</t>
  </si>
  <si>
    <t>Skipulagsstofa -húsaleiga millifærð</t>
  </si>
  <si>
    <t>Bæjarstjórn - húsaleiga millifærð</t>
  </si>
  <si>
    <t>Skrifstofa sveitarfélags - húsaleiga millifærð</t>
  </si>
  <si>
    <t>Stjórnsýsluhús - arður af eignum</t>
  </si>
  <si>
    <t>31590</t>
  </si>
  <si>
    <t>Suðurgata 57 landsbankahús - arður af eignum</t>
  </si>
  <si>
    <t>31610</t>
  </si>
  <si>
    <t>Stúka, Akranesvelli - húsaleiga millifærð</t>
  </si>
  <si>
    <t>Stúka Akranesvelli - arður af eignum</t>
  </si>
  <si>
    <t>31620</t>
  </si>
  <si>
    <t>Sparkvellir - húsaleiga millifærð</t>
  </si>
  <si>
    <t>Sparkvellir - arður af eignum</t>
  </si>
  <si>
    <t>31690</t>
  </si>
  <si>
    <t>Golfvöllur Garðavöllur - arður af eignum</t>
  </si>
  <si>
    <t>Golfvöllur - húsaleiga millifærð</t>
  </si>
  <si>
    <t>31650</t>
  </si>
  <si>
    <t>Slökkvistöð - arður af eignum</t>
  </si>
  <si>
    <t>31660</t>
  </si>
  <si>
    <t>Sambýlið Laugarbraut - húsaleiga millifærð</t>
  </si>
  <si>
    <t>Sambýlið Laugarbraut - arður af eignum</t>
  </si>
  <si>
    <t>31680</t>
  </si>
  <si>
    <t>Fjöliðjan - húsaleiga millifærð</t>
  </si>
  <si>
    <t>Fjöliðjan - önnur eignaleiga millifærð</t>
  </si>
  <si>
    <t>31720</t>
  </si>
  <si>
    <t>Vinnuskóli bifreið - önnur eignaleiga millifærð</t>
  </si>
  <si>
    <t>Sendibifreiðar - önnur eignaleiga millifærð</t>
  </si>
  <si>
    <t>Fjöliðjan - arður af eignum</t>
  </si>
  <si>
    <t>Sendibifreiðar - arður af eignum</t>
  </si>
  <si>
    <t>31730</t>
  </si>
  <si>
    <t>Slökkvibílar - önnur eignaleiga millifærð</t>
  </si>
  <si>
    <t>Slökkvibifreiðar - arður af eignum</t>
  </si>
  <si>
    <t>31810</t>
  </si>
  <si>
    <t>Aðalskrifstofa - önnur eignaleiga millifærð</t>
  </si>
  <si>
    <t>Tæki og áhöld yfirstjórn - arður af eignum</t>
  </si>
  <si>
    <t>31 Eignasjóður rekstrarreikningur samtala</t>
  </si>
  <si>
    <t>Eignasjóður fjárfesting</t>
  </si>
  <si>
    <t>arður af eignum</t>
  </si>
  <si>
    <t>innri leiga</t>
  </si>
  <si>
    <t>Sameiginlegir liðir - innri leiga</t>
  </si>
  <si>
    <t>5893</t>
  </si>
  <si>
    <t>Gatnakerfi - afskriftir annarra mannvirkja</t>
  </si>
  <si>
    <t>Gatnakerfi samtala</t>
  </si>
  <si>
    <t>Gatnakerfi - afskriftir</t>
  </si>
  <si>
    <t>31100</t>
  </si>
  <si>
    <t>Landakaup vegna skipulagsm. - afskriftir anna</t>
  </si>
  <si>
    <t>landakaup vegna skiplagsmála - afskrift</t>
  </si>
  <si>
    <t>31310</t>
  </si>
  <si>
    <t>5892</t>
  </si>
  <si>
    <t>leiguíbúðir - afskriftir fasteigna</t>
  </si>
  <si>
    <t>31390</t>
  </si>
  <si>
    <t>5894</t>
  </si>
  <si>
    <t>Kirkjuhvoll - afskriftir véla og áhalda</t>
  </si>
  <si>
    <t>Kirkjuhvoll - afskriftir</t>
  </si>
  <si>
    <t>Grundaskóli - afskrift fasteigna</t>
  </si>
  <si>
    <t>Grundaskóli - afskrift véla og áhalda</t>
  </si>
  <si>
    <t>Grundaskóli - afskriftir</t>
  </si>
  <si>
    <t>Vallarsel - afskriftir</t>
  </si>
  <si>
    <t>31600</t>
  </si>
  <si>
    <t>þjónustumiðstöð aldraðra - afskriftir fasteigna</t>
  </si>
  <si>
    <t>Þjónustumiðstöð aldraðra - afskriftir</t>
  </si>
  <si>
    <t>Vélageymsla - golfvelli - afskrift fasteigna</t>
  </si>
  <si>
    <t>Vélageymsla golfvelli samtals</t>
  </si>
  <si>
    <t>5896</t>
  </si>
  <si>
    <t>Sendibifreiðar - afskrift bifreiða</t>
  </si>
  <si>
    <t>Sendibifreiðar samtals</t>
  </si>
  <si>
    <t>Sendibifreiðar - afskriftir</t>
  </si>
  <si>
    <t>Tæki og áhöld - afskrift véla og áhalda</t>
  </si>
  <si>
    <t>Tæki og áhöld - afskrift</t>
  </si>
  <si>
    <t>Tæki og áhöld samtala</t>
  </si>
  <si>
    <t>61 Byggðasafn</t>
  </si>
  <si>
    <t>61650</t>
  </si>
  <si>
    <t>Byggðasafn fasteignir - afskrift fasteignir</t>
  </si>
  <si>
    <t xml:space="preserve">Afskriftir fastafjármuna </t>
  </si>
  <si>
    <t>61 Byggðasafn samtala</t>
  </si>
  <si>
    <t>afskriftir</t>
  </si>
  <si>
    <t>0990</t>
  </si>
  <si>
    <t>Tillaga fjárm.st. v/leiðr. Áætl.</t>
  </si>
  <si>
    <t>Brekkubæjarskóli - endurgreiðslur</t>
  </si>
  <si>
    <t>0010</t>
  </si>
  <si>
    <t>00060</t>
  </si>
  <si>
    <t>Fasteignaskattur - lækkuð álagning</t>
  </si>
  <si>
    <t>Tillaga fjám.st. v/leiðr.áætl.</t>
  </si>
  <si>
    <t>00 Skatttekjur</t>
  </si>
  <si>
    <t>Skatttekjur án framlaga Jöfnunarsjóðs</t>
  </si>
  <si>
    <t>Leiguíbúðir - afskriftir fasteigna</t>
  </si>
  <si>
    <t>Vélageymsla - afskrift</t>
  </si>
  <si>
    <t>61</t>
  </si>
  <si>
    <t>Byggðasafnið</t>
  </si>
  <si>
    <t>37</t>
  </si>
  <si>
    <t>Fasteignafélag Akraneskaupstaðar ehf</t>
  </si>
  <si>
    <t>87</t>
  </si>
  <si>
    <t>Háhiti ehf</t>
  </si>
  <si>
    <t>35</t>
  </si>
  <si>
    <t>Fasteignafélag Akraneskaupstaðar slf</t>
  </si>
  <si>
    <t>Gáma</t>
  </si>
  <si>
    <t>Samantekt allra viðauka</t>
  </si>
  <si>
    <t>Verkefniskóti</t>
  </si>
  <si>
    <t>Samþykkt/tillaga</t>
  </si>
  <si>
    <t>0570</t>
  </si>
  <si>
    <t>Íþróttamannvirki - leigu- og rekst.samn. við ÍA</t>
  </si>
  <si>
    <t>02250</t>
  </si>
  <si>
    <t>NPA-þjónusta - búsetuþjónusta</t>
  </si>
  <si>
    <t>Bæjarráð tölul. 22</t>
  </si>
  <si>
    <t>Bæjarráð tölul. 23</t>
  </si>
  <si>
    <t>Styrkir s.h. - Nýsköpunarkeppni grunnskólanemenda 2015</t>
  </si>
  <si>
    <t>11890</t>
  </si>
  <si>
    <t>Styrkir s.h. - Skógræktarfélag Akr. v/framkvæmdaverkefna</t>
  </si>
  <si>
    <t>08 Hreinlætismál</t>
  </si>
  <si>
    <t>08210</t>
  </si>
  <si>
    <t>0257</t>
  </si>
  <si>
    <t>Sorphirðugjald - lækkanir - v/endurákvörðun gj.</t>
  </si>
  <si>
    <t>Bæjarráð tölul. 4</t>
  </si>
  <si>
    <t>4982</t>
  </si>
  <si>
    <t>Aðkeypt önnur vinna m/end.kr. vsk - v/endurákvörðun gj.</t>
  </si>
  <si>
    <t>Sorphreinsun - aðkeypt önnur vinna m/end.kr. vsk</t>
  </si>
  <si>
    <t>53 Gáma</t>
  </si>
  <si>
    <t>53010</t>
  </si>
  <si>
    <t xml:space="preserve">Sameiginlegir liðir - seld vinna og þjónusta 24% </t>
  </si>
  <si>
    <t>53 Gáma samtala</t>
  </si>
  <si>
    <t>07890</t>
  </si>
  <si>
    <t>Ýmsir styrkir - styrkur</t>
  </si>
  <si>
    <t>Bæjarráð tölul. 8</t>
  </si>
  <si>
    <t>NPA þjónusta - Aðkeypt önnur vinna</t>
  </si>
  <si>
    <t>0891</t>
  </si>
  <si>
    <t>Ýmsir styrkir</t>
  </si>
  <si>
    <t>Þjónustutekjur</t>
  </si>
  <si>
    <t>Skólaskrifstofa - styrkir</t>
  </si>
  <si>
    <t>Íþróttamiðstöð Jaðarsbökkum - þjónustutekjur</t>
  </si>
  <si>
    <t>aðrar tekjur</t>
  </si>
  <si>
    <t>22 Áfallin lífeyrisskuldbinding</t>
  </si>
  <si>
    <t>22680</t>
  </si>
  <si>
    <t>1920</t>
  </si>
  <si>
    <t>Áf.lífeyrisskuldbinding - hækkun</t>
  </si>
  <si>
    <t>Tillaga fjámálastjóra</t>
  </si>
  <si>
    <t>Lífeyrisskuldbinding - Áf. lífeyrisskuldbinding br.</t>
  </si>
  <si>
    <t>áfallin lífeyrisskuldbinding</t>
  </si>
  <si>
    <t>09260</t>
  </si>
  <si>
    <t>4320</t>
  </si>
  <si>
    <t>Starfshópur - samningur við arkitekta</t>
  </si>
  <si>
    <t>4990</t>
  </si>
  <si>
    <t>Sameinlegir liðir - endurákv. álagning</t>
  </si>
  <si>
    <t>Fjárhagsáætlun</t>
  </si>
  <si>
    <t xml:space="preserve">Viðaukar </t>
  </si>
  <si>
    <t>Viðaukar</t>
  </si>
  <si>
    <t>Árið</t>
  </si>
  <si>
    <t>Rekstrarreikningur</t>
  </si>
  <si>
    <t>A-og B-hluti</t>
  </si>
  <si>
    <t>þús kr.</t>
  </si>
  <si>
    <t>upphafleg</t>
  </si>
  <si>
    <t>með viðaukum</t>
  </si>
  <si>
    <t>Rekstrartekjur</t>
  </si>
  <si>
    <t>Framlög jöfnunarsjóðs</t>
  </si>
  <si>
    <t>Þjónustutekjur og aðrar tekjur</t>
  </si>
  <si>
    <t>Rekstrargjöld</t>
  </si>
  <si>
    <t>Laun og launatengd gjöld</t>
  </si>
  <si>
    <t>Annar rekstrarkostnaður</t>
  </si>
  <si>
    <t>Breyting lífeyrisskuldbindinga</t>
  </si>
  <si>
    <t>Framlegð frá rekstri ( EBITDA )</t>
  </si>
  <si>
    <t>Afskriftir</t>
  </si>
  <si>
    <t>Rekstrarniðurstaða fyrir fjármagnsliði</t>
  </si>
  <si>
    <t>Fjármunatekjur og (fjármagnsgjöld)</t>
  </si>
  <si>
    <t>Rekstrarniðurstaða fyrir skatta og áhrif hlutdeildarfélaga</t>
  </si>
  <si>
    <t>Skattar</t>
  </si>
  <si>
    <t xml:space="preserve">Hlutdeild í afkomu </t>
  </si>
  <si>
    <t>Rekstrarniðurstaða fyrir óreglulega liði</t>
  </si>
  <si>
    <t>Óreglulegir liðir   tekjur (gjöld)</t>
  </si>
  <si>
    <t>Rekstrarniðurstaða</t>
  </si>
  <si>
    <t>Yfirlit um sjóðstreymi</t>
  </si>
  <si>
    <t xml:space="preserve"> þús kr.</t>
  </si>
  <si>
    <t>Rekstrarhreyfingar</t>
  </si>
  <si>
    <t>Rekstrarniðurst. samkvæmt rekstrarreikningi</t>
  </si>
  <si>
    <t>Reiknaðar afskriftir</t>
  </si>
  <si>
    <t>Verðbætur og gengismunur</t>
  </si>
  <si>
    <t>(Hagnaður), tap af sölu rekstrarfjármuna</t>
  </si>
  <si>
    <t>Framlög frá eigin sjóðum</t>
  </si>
  <si>
    <t>Breytingar á skuldbindingum</t>
  </si>
  <si>
    <t>Aðrir liðir</t>
  </si>
  <si>
    <t>Veltufé frá rekstri</t>
  </si>
  <si>
    <t>Br. á rekstrartengdum eignum og skuldum</t>
  </si>
  <si>
    <t>Birgðir, hækkun</t>
  </si>
  <si>
    <t>Óinnheimtar tekjur, lækkun (hækkun)</t>
  </si>
  <si>
    <t>Aðrar skammtímakröfur, lækkun (hækkun)</t>
  </si>
  <si>
    <t>Skammtímaskuldir, hækkun (lækkun)</t>
  </si>
  <si>
    <t>Greitt vegna lífeyrisskuldbindinga</t>
  </si>
  <si>
    <t>Handbært fé frá rekstri</t>
  </si>
  <si>
    <t>Fjárfestingarhreyfingar</t>
  </si>
  <si>
    <t>Fjárfresting í varanlegum rekstrarfjármunum</t>
  </si>
  <si>
    <t>Söluverð seldra rekstrarfjármuna</t>
  </si>
  <si>
    <t>Eignarhlutir í félögum, breyting</t>
  </si>
  <si>
    <t>Langtímakröfur, breyting</t>
  </si>
  <si>
    <t>Langtímakröfur við eigin fyrirtæki, breyting</t>
  </si>
  <si>
    <t>Fjármögnunarhreyfingar</t>
  </si>
  <si>
    <t>Framlög frá eigin fyrirtækjum</t>
  </si>
  <si>
    <t>Viðskiptastaða eigin fyrirtækja, breyting</t>
  </si>
  <si>
    <t>Tekin ný langtímalán</t>
  </si>
  <si>
    <t>Afborganir langtímalána</t>
  </si>
  <si>
    <t>Afborganir leiguskuldbindinga</t>
  </si>
  <si>
    <t>Lagtímask. Við eigin fyrirtæki, breyting</t>
  </si>
  <si>
    <t>Skammtímalán, breyting</t>
  </si>
  <si>
    <t>Breyting á handbæru fé</t>
  </si>
  <si>
    <t>Handbært fé í ársbyrjun</t>
  </si>
  <si>
    <t>Handbært fé í árslok</t>
  </si>
  <si>
    <t>Efnahagsreikningur</t>
  </si>
  <si>
    <t>Eignir</t>
  </si>
  <si>
    <t>Fastafjármunir</t>
  </si>
  <si>
    <t>Varanlegir rekstrarfjármunir</t>
  </si>
  <si>
    <t>Fasteignir, lóðir og fasteignaréttindi</t>
  </si>
  <si>
    <t>Veitukerfi, hafnarmannvirki og gatnakerfi</t>
  </si>
  <si>
    <t>Vélar, tæki, áhöld og búnaður</t>
  </si>
  <si>
    <t>Leigueignir</t>
  </si>
  <si>
    <t>Áhættufjármunir og langtímakröfur</t>
  </si>
  <si>
    <t>Eignarhlutir í öðrum félögum</t>
  </si>
  <si>
    <t>Eignarhlutir í byggðasamlögum</t>
  </si>
  <si>
    <t>Eignarhlutir í tengdum félögum</t>
  </si>
  <si>
    <t>Langtímakröfur</t>
  </si>
  <si>
    <t>Annað</t>
  </si>
  <si>
    <t>Langtímakröfur á eigin fyrirtæki</t>
  </si>
  <si>
    <t>Veltufjármunir</t>
  </si>
  <si>
    <t>Birgðir</t>
  </si>
  <si>
    <t>Óinnheimtar tekjur</t>
  </si>
  <si>
    <t>Skammtímakröfur á eigin fyrirtæki</t>
  </si>
  <si>
    <t>Aðrar skammtímakröfur</t>
  </si>
  <si>
    <t>Næsta árs afborganir langtímakrafna</t>
  </si>
  <si>
    <t>N. árs afb. langtímakrafna af eigin fyrirtækjum</t>
  </si>
  <si>
    <t>Skammtímaverðbréf</t>
  </si>
  <si>
    <t>Markaðsverðbréf</t>
  </si>
  <si>
    <t>Eignir samtals</t>
  </si>
  <si>
    <t>Skuldir og eigið fé</t>
  </si>
  <si>
    <t>Eigið fé</t>
  </si>
  <si>
    <t>Eiginfjárreikningar</t>
  </si>
  <si>
    <t>Hlutdeild minnihluta</t>
  </si>
  <si>
    <t>Hlutafé</t>
  </si>
  <si>
    <t>Skuldbindingar</t>
  </si>
  <si>
    <t>Lífeyrisskuldbindingar</t>
  </si>
  <si>
    <t>Aðrar skuldbindingar</t>
  </si>
  <si>
    <t>Langtímaskuldir</t>
  </si>
  <si>
    <t>Skuldir við lánastofnanir</t>
  </si>
  <si>
    <t>Leiguskuldir</t>
  </si>
  <si>
    <t>Skuldir við eigin fyrirtæki</t>
  </si>
  <si>
    <t>Aðrar langtímaskuldir</t>
  </si>
  <si>
    <t>Skammtímaskuldir</t>
  </si>
  <si>
    <t>Viðskiptaskuldir</t>
  </si>
  <si>
    <t>Næsta árs afborganir langtímaskulda</t>
  </si>
  <si>
    <t>Næsta árs afborganir lífeyrisskuldbindinga</t>
  </si>
  <si>
    <t>Næsta árs afborganir leiguskulda</t>
  </si>
  <si>
    <t>N. árs afb. langt.sk. við eigin fyrirtæki</t>
  </si>
  <si>
    <t>Fyrirframgreiðslur</t>
  </si>
  <si>
    <t>Aðrar skammtímaskuldir</t>
  </si>
  <si>
    <t>Óvenjulegar skammtímaskuldir</t>
  </si>
  <si>
    <t>Heildarskuldir og skuldbindingar</t>
  </si>
  <si>
    <t>Skuldir og eigið fé samtals</t>
  </si>
  <si>
    <t>Afstemming efnahagsreiknings</t>
  </si>
  <si>
    <t>Viðauki við fjárhagsáætlun</t>
  </si>
  <si>
    <t xml:space="preserve">Samtala </t>
  </si>
  <si>
    <t>Viðauki</t>
  </si>
  <si>
    <t>allra</t>
  </si>
  <si>
    <t>Yfirlit viðauka fyrir viðkomandi málaflokka</t>
  </si>
  <si>
    <t>viðauka</t>
  </si>
  <si>
    <t>m/ viðaukum</t>
  </si>
  <si>
    <t>þús. kr.</t>
  </si>
  <si>
    <t>Hlutfallsleg</t>
  </si>
  <si>
    <t>Brunamál og almannavarnir</t>
  </si>
  <si>
    <t>Skipulags- og byggingarmál</t>
  </si>
  <si>
    <t>Umferðar- og samgöngumál</t>
  </si>
  <si>
    <t>Breyting lífeyrissjóðsskuldbindingar</t>
  </si>
  <si>
    <t>Óvenjulegir liðir</t>
  </si>
  <si>
    <t xml:space="preserve">Eignasjóður </t>
  </si>
  <si>
    <t>33</t>
  </si>
  <si>
    <t xml:space="preserve">Þjónustumiðstöð </t>
  </si>
  <si>
    <t>Aðrar A-hluta stofnanir</t>
  </si>
  <si>
    <t>Hafnarsjóður</t>
  </si>
  <si>
    <t>63</t>
  </si>
  <si>
    <t>Vatnsveita</t>
  </si>
  <si>
    <t>65</t>
  </si>
  <si>
    <t>Rafveita</t>
  </si>
  <si>
    <t>67</t>
  </si>
  <si>
    <t>Hitaveita</t>
  </si>
  <si>
    <t>69</t>
  </si>
  <si>
    <t>Fráveita</t>
  </si>
  <si>
    <t>71</t>
  </si>
  <si>
    <t>Íbúðarhúsnæði</t>
  </si>
  <si>
    <t>77</t>
  </si>
  <si>
    <t>Félagslegar þjónustustofnanir</t>
  </si>
  <si>
    <t>89</t>
  </si>
  <si>
    <t>Aðrar B-hluta stofnanir/Höfði</t>
  </si>
  <si>
    <t>92</t>
  </si>
  <si>
    <t>B-hluti</t>
  </si>
  <si>
    <t xml:space="preserve">A- og B-hluti   </t>
  </si>
  <si>
    <t>XX</t>
  </si>
  <si>
    <t xml:space="preserve">                            Aðrar aðgerðir sem sveitarstjórn tiltekur</t>
  </si>
  <si>
    <t>Fjárfesting (eignfærsla)</t>
  </si>
  <si>
    <t>þús.kr.</t>
  </si>
  <si>
    <t>Félagslegt íbúðarhúsnæði</t>
  </si>
  <si>
    <t>Lántaka - skammtímalán</t>
  </si>
  <si>
    <t>Tillaga sviðsstjóra</t>
  </si>
  <si>
    <t>Skrifstofa sveitarfélagsins - launaliður</t>
  </si>
  <si>
    <t>28110</t>
  </si>
  <si>
    <t>5713</t>
  </si>
  <si>
    <t>Sorphirðugjald - vextir - v/endurákvörðun gj.</t>
  </si>
  <si>
    <t>Fjármagnsgjöld - vaxtagjöld af skammtímaskuldum</t>
  </si>
  <si>
    <t>28 Fjármunatekjur og fjármagnsgjöld</t>
  </si>
  <si>
    <t>28 Fjármagnstekjur og fjármagnsgjöld</t>
  </si>
  <si>
    <t>fjármagnstekjur og -gjöld</t>
  </si>
  <si>
    <t>Framlög til B-hluta fyrirtækja/Annar kostnaður</t>
  </si>
  <si>
    <t>00080</t>
  </si>
  <si>
    <t>0110</t>
  </si>
  <si>
    <t xml:space="preserve">Útgjaldajöfn.framl. v/aukning </t>
  </si>
  <si>
    <t xml:space="preserve">Tillaga fjám.st. </t>
  </si>
  <si>
    <t>0150</t>
  </si>
  <si>
    <t xml:space="preserve">Framlög v/sérþarfa fatlaðra - lr. v/endanl.framl. </t>
  </si>
  <si>
    <t>0185</t>
  </si>
  <si>
    <t xml:space="preserve">Framlög v/málefna fatlaðra - lr. v/áætl.Þjónusturáðs </t>
  </si>
  <si>
    <t>Fasteignaskattur - álagning ársins</t>
  </si>
  <si>
    <t>Fasteignaskattur samtals</t>
  </si>
  <si>
    <t>Útgjaldajöfnunarframlag</t>
  </si>
  <si>
    <t>Framlög vegna sérþarfa fatlaðra</t>
  </si>
  <si>
    <t>Framlög vegna málefna framlaga</t>
  </si>
  <si>
    <t>Framlög úr Jöfnunarsjóði sveitarfélaga</t>
  </si>
  <si>
    <t>A-hluti leiðr.</t>
  </si>
  <si>
    <t>Styrkir 2015 v/fatsteignagj. - Rauði Krossinn</t>
  </si>
  <si>
    <t>5946</t>
  </si>
  <si>
    <t>óráðstafað samkvæmt áætlun - önnur framlög</t>
  </si>
  <si>
    <t>Grundaskóli - þjónustu og orkukaup</t>
  </si>
  <si>
    <t>06820</t>
  </si>
  <si>
    <t>Knattspynufél. - styrkur vegna trommusveitar</t>
  </si>
  <si>
    <t>Knattspyrnufélag ÍA - styrkir og framlög</t>
  </si>
  <si>
    <t>05770</t>
  </si>
  <si>
    <t>Hátíðarhöld og viðburðir - þjónustu og orkukaup</t>
  </si>
  <si>
    <t>Brekkubæjarskóli - launaliður</t>
  </si>
  <si>
    <t>Þorpið - launaliður</t>
  </si>
  <si>
    <t>Þorpið samtals</t>
  </si>
  <si>
    <t>02220</t>
  </si>
  <si>
    <t>Fjöliðjan hæfing - launaliður</t>
  </si>
  <si>
    <t>Sambýlið Laugarbraut - launaliður</t>
  </si>
  <si>
    <t>Sambýlið Laugarbraut samtals</t>
  </si>
  <si>
    <t>02280</t>
  </si>
  <si>
    <t>Búsetuþjónusta Holtsflöt -  launaliður</t>
  </si>
  <si>
    <t>Heimaþjónusta - launaliður</t>
  </si>
  <si>
    <t>Heimaþjónusta  samtals</t>
  </si>
  <si>
    <t>4992</t>
  </si>
  <si>
    <t>Teigasel - gagnaveita (OR) lækkun</t>
  </si>
  <si>
    <t>Tillaga sviðsstj. Stjórns.</t>
  </si>
  <si>
    <t>Teigasel - þjónustu og orkukaup</t>
  </si>
  <si>
    <t>Garðasel - þjónustu og orkukaup</t>
  </si>
  <si>
    <t>Tillaga sviðsstj. Stjórns</t>
  </si>
  <si>
    <t>Akrasel - þjónustu og orkukaup</t>
  </si>
  <si>
    <t>Tónlistarskóli - þjónustu og orkukaup</t>
  </si>
  <si>
    <t>Tónlistarskóli samtals</t>
  </si>
  <si>
    <t>Bókasafn - þjónustu og orkukaup</t>
  </si>
  <si>
    <t>Bókasafn samtals</t>
  </si>
  <si>
    <t>Þorpið - þjónustu og orkukaup</t>
  </si>
  <si>
    <t>íþróttam. Jaðarsbökkum - þjónustu og orkukaup</t>
  </si>
  <si>
    <t>Íþróttahús Vesturgötu - þjónustu og orkukaup</t>
  </si>
  <si>
    <t>Slökkvistöð - þjónustu og orkukaup</t>
  </si>
  <si>
    <t>Slökkvistöð samtals</t>
  </si>
  <si>
    <t>Áhaldahús - gagnaveita (OR) lækkun</t>
  </si>
  <si>
    <t>Sameiginlegir liðir - þjónustu og orkukaup</t>
  </si>
  <si>
    <t>Sameiginlegir liðir samtala</t>
  </si>
  <si>
    <t>61220</t>
  </si>
  <si>
    <t xml:space="preserve">Safnaskáli -þjónustu og orkukaup </t>
  </si>
  <si>
    <t>óráðstafað samkvæmt áætlun -þjónustu og orkukaup</t>
  </si>
  <si>
    <t>Grundaskóli - launaliður</t>
  </si>
  <si>
    <t>nr.1-4</t>
  </si>
  <si>
    <t>04950</t>
  </si>
  <si>
    <t>Óviss útgjöld - launaliður</t>
  </si>
  <si>
    <t>Bæjarráð tölul. 11</t>
  </si>
  <si>
    <t>Brekkubæjarskóli - úthlutun úr tækjakaupasjóði</t>
  </si>
  <si>
    <t>Akrasel - úthlutun úr tækjakaupasjóði</t>
  </si>
  <si>
    <t>Búsetuþjónusta Holtsflöt - þjónustu og orkukaup</t>
  </si>
  <si>
    <t>Heimaþjónusta Holtsflöt samtals</t>
  </si>
  <si>
    <t>Fjöliðjan - þjónustu og orkukaup</t>
  </si>
  <si>
    <t>Fjöliðjan samtals</t>
  </si>
  <si>
    <t>Fjöliðjan hæfing - úthlutun úr tækjakaupasjóði</t>
  </si>
  <si>
    <t>Fjöliðjan hæfing - þjónustu og orkukaup</t>
  </si>
  <si>
    <t>Fjöliðjan hæfing samtals</t>
  </si>
  <si>
    <t>Búsetuþj. Holtsflöt - fæðiskostnaður þjónustuþega</t>
  </si>
  <si>
    <t>Bæjarráð tölul. 19</t>
  </si>
  <si>
    <t>05020</t>
  </si>
  <si>
    <t>Verkefnastjóri - Hagvangur v/ráðningar</t>
  </si>
  <si>
    <t>Bæjarráð tölul. 21</t>
  </si>
  <si>
    <t>Skrifstofa velferðar- mannréttindasviðs - þjónustu og orkukaup</t>
  </si>
  <si>
    <t>Skrifstofa velferðar- og mannréttindasviðs samtals</t>
  </si>
  <si>
    <t>Tómstundastarf aldraðra - úthlutun úr tækjakaupasjóði</t>
  </si>
  <si>
    <t>Tómstundastarf aldraðra samtals</t>
  </si>
  <si>
    <t>Garðasel - sérstakur stuðningur og aðstoð</t>
  </si>
  <si>
    <t>Deildarstjóri skóla- og fríst.</t>
  </si>
  <si>
    <t>Garðasel - sérstakur aðstoðar og þjálfunar frá Vallarseli</t>
  </si>
  <si>
    <t>Garðasel - sérstakur þjálfunar og aðstoð frá Teigaseli</t>
  </si>
  <si>
    <t>Garðasel - sérstök aðstoð og stuðningur frá skrifst. Skóla- og fríst</t>
  </si>
  <si>
    <t>04690</t>
  </si>
  <si>
    <t>Ýmsir styrkir - tónlistarnám Kópavogi</t>
  </si>
  <si>
    <t>Vallarsel - framlag úr Þróunnarsjóði</t>
  </si>
  <si>
    <t>Garðasel - framlag úr Þróunnarsjóði</t>
  </si>
  <si>
    <t>Vallarsel og Garðasel - framlög úr Þróunnarsjóði</t>
  </si>
  <si>
    <t>Vallarsel - framlög og styrkir</t>
  </si>
  <si>
    <t>Garðasel - framlög og styrkir</t>
  </si>
  <si>
    <t>Grundaskóli - úthlutun úr tækjak.sj.</t>
  </si>
  <si>
    <t>Bæjarráð tölul. 15</t>
  </si>
  <si>
    <t>Tillaga sviðsst.</t>
  </si>
  <si>
    <t>Búsetuþj.Holtsflöt - flutt af Vesturgötu</t>
  </si>
  <si>
    <t>02270</t>
  </si>
  <si>
    <t>Sambýlið Vesturgötu - flutt á Laugarbraut og Holtsflöt</t>
  </si>
  <si>
    <t>Sambýlið Vesturgötu - launaliður</t>
  </si>
  <si>
    <t>Sambýlið Vesturgötu - þjónustu og orkukaup</t>
  </si>
  <si>
    <t>Sambýlið Vesturgötu samtals</t>
  </si>
  <si>
    <t>Sambýlið Vesturgötu - bætur</t>
  </si>
  <si>
    <t>Sambýlið Vesturgötu - annar rekstrarkostnaður</t>
  </si>
  <si>
    <t>0750</t>
  </si>
  <si>
    <t>Tillaga fjármálastjóra</t>
  </si>
  <si>
    <t>5104</t>
  </si>
  <si>
    <t>Sameinlegir liðir - innri afnot</t>
  </si>
  <si>
    <t>00010</t>
  </si>
  <si>
    <t>0020</t>
  </si>
  <si>
    <t>Útsvör - álagning ársins</t>
  </si>
  <si>
    <t>útsvar samtals</t>
  </si>
  <si>
    <t>Tómstundastarf aldraðra -  þjónustu og orkukaup</t>
  </si>
  <si>
    <t>Tónlistarskólinn - flutt á Grundaskóla</t>
  </si>
  <si>
    <t>Tónlistarskóli - launaliður</t>
  </si>
  <si>
    <t>02130</t>
  </si>
  <si>
    <t>Tilsjónarmenn - starfsmat</t>
  </si>
  <si>
    <t>Tilsjónarmenn - launaliður</t>
  </si>
  <si>
    <t>02320</t>
  </si>
  <si>
    <t>Tómstundastarf aldraðra - starfsmat</t>
  </si>
  <si>
    <t>02540</t>
  </si>
  <si>
    <t>Liðveisla - launaliður</t>
  </si>
  <si>
    <t>02580</t>
  </si>
  <si>
    <t>Atvinnumál fatlaðra - starfsmat</t>
  </si>
  <si>
    <t>Atvinnumál fatlaðra - launaliður</t>
  </si>
  <si>
    <t>04070</t>
  </si>
  <si>
    <t>Sjúkrakennsla - starfsmat</t>
  </si>
  <si>
    <t>Sjúkrakennsla - launaliður</t>
  </si>
  <si>
    <t>04040</t>
  </si>
  <si>
    <t>Garðasel - starfsmat</t>
  </si>
  <si>
    <t>04290</t>
  </si>
  <si>
    <t>Sérdeild Brekkubæjarskóla - launaliður</t>
  </si>
  <si>
    <t>04310</t>
  </si>
  <si>
    <t>Skóladagvist Brekkubæjarskóla - starfsmat</t>
  </si>
  <si>
    <t>Skóladagvist Brekkubæjarskóla - launaliður</t>
  </si>
  <si>
    <t>04350</t>
  </si>
  <si>
    <t>Skóladagvist Grundaskóla - launaliður</t>
  </si>
  <si>
    <t>Tónlistarskólinn - starfsmat</t>
  </si>
  <si>
    <t>Bókasafn - starfsmat</t>
  </si>
  <si>
    <t>Bókasafn - launaliður</t>
  </si>
  <si>
    <t>Vinnuskóli - starfsmat</t>
  </si>
  <si>
    <t>Vinnuskóli - launaliður</t>
  </si>
  <si>
    <t>Vinnuskóli samtals</t>
  </si>
  <si>
    <t>06300</t>
  </si>
  <si>
    <t>Þorpið vegna fatlaðra - starfsmat</t>
  </si>
  <si>
    <t>Þorpið - starfsmat</t>
  </si>
  <si>
    <t>Þorpið vegna fatlaðra - launaliður</t>
  </si>
  <si>
    <t>Skipulags- og byggingarmál - starfsmat</t>
  </si>
  <si>
    <t>Skipulags- og byggingarmál - launaliður</t>
  </si>
  <si>
    <t>11080</t>
  </si>
  <si>
    <t>Garðyrkja sumarstörf - starfsmat</t>
  </si>
  <si>
    <t>Garðyrkja sumarstörf - launaliður</t>
  </si>
  <si>
    <t>13070</t>
  </si>
  <si>
    <t>Búkolla - starfsmat</t>
  </si>
  <si>
    <t>Búkolla - launaliður</t>
  </si>
  <si>
    <t>Virkniúrræði - starfsmat</t>
  </si>
  <si>
    <t>21100</t>
  </si>
  <si>
    <t>Sveitastjórnarkosningar - starfsmat</t>
  </si>
  <si>
    <t>Sveitarstjórnarkosningar - launaliður</t>
  </si>
  <si>
    <t>Skrifstofa sveitarfélagsins - starfsmat</t>
  </si>
  <si>
    <t>Sameiginlegir liðir - starfsmat</t>
  </si>
  <si>
    <t>Sameiginlegir liðir - launaliður</t>
  </si>
  <si>
    <t>61190</t>
  </si>
  <si>
    <t>Aðrir liðir sameiginlegir - starfsmat</t>
  </si>
  <si>
    <t>Aðrir liðir sameiginlegir - launaliður</t>
  </si>
  <si>
    <t>Skatttekjur án framlaga jöfnunarsjóðs</t>
  </si>
  <si>
    <t>4620</t>
  </si>
  <si>
    <t>Áhaldahús - viðhald húsnæðis</t>
  </si>
  <si>
    <t>Áhaldahús - þjónustu og orkukaup</t>
  </si>
  <si>
    <t>Tillaga sviðsstj.</t>
  </si>
  <si>
    <t>5106</t>
  </si>
  <si>
    <t>Áhaldahús - eigin vinna</t>
  </si>
  <si>
    <t>Áhaldahús samtals</t>
  </si>
  <si>
    <t>Leiguíbúðir - þjónustu og orkukaup</t>
  </si>
  <si>
    <t>Leiguíbúðir samtals</t>
  </si>
  <si>
    <t>Bíóhöllin - viðhald húsnæðis</t>
  </si>
  <si>
    <t>Bíóhöllin - þjónustu og orkukaup</t>
  </si>
  <si>
    <t>Kirkjuhvoll - viðhald húsnæðis</t>
  </si>
  <si>
    <t>Kirkjuhvoll - þjónustu og orkukaup</t>
  </si>
  <si>
    <t>Kirkjuhvoll samtals</t>
  </si>
  <si>
    <t>þjóðbraut 13 - viðhald húsnæðis</t>
  </si>
  <si>
    <t>þjóðbraut 13 - eigin vinna</t>
  </si>
  <si>
    <t>Þjóðbraut 13 - þjónustu og orkukaup</t>
  </si>
  <si>
    <t>þjóðbraut 13 samtals</t>
  </si>
  <si>
    <t>Garðasel - viðhald húsnæðis</t>
  </si>
  <si>
    <t>Garðasel - eigin vinna</t>
  </si>
  <si>
    <t>Teigasel - eigin vinna</t>
  </si>
  <si>
    <t>Bjarnalaug - viðhald húsnæðis</t>
  </si>
  <si>
    <t>Bjarnalaug - eigin vinna</t>
  </si>
  <si>
    <t>Bjarnalaug - þjónustu og orkukaup</t>
  </si>
  <si>
    <t>Bjarnalaug samtals</t>
  </si>
  <si>
    <t>íþróttamiðstöð - þjónustu og orkukaup</t>
  </si>
  <si>
    <t>íþróttamiðstöð samtals</t>
  </si>
  <si>
    <t>íþróttahús Vesturgötu - þjónustu og orkukaup</t>
  </si>
  <si>
    <t>íþróttahús Vesturgötu samtals</t>
  </si>
  <si>
    <t>Stjórnsýsluhús - eigin vinna</t>
  </si>
  <si>
    <t>Stjórnsýsluhús - þjónustu og orkukaup</t>
  </si>
  <si>
    <t>Stjórnsýsluhús samtals</t>
  </si>
  <si>
    <t>31580</t>
  </si>
  <si>
    <t>Suðurgata 108 - viðhald húsnæðis</t>
  </si>
  <si>
    <t>Suðurgata 108 - eigin vinna</t>
  </si>
  <si>
    <t>Suðurgata 108 - þjónustu og orkukaup</t>
  </si>
  <si>
    <t>Suðurgata 57 - viðhald húsnæðis</t>
  </si>
  <si>
    <t>Suðurgata 57 - eigin vinna</t>
  </si>
  <si>
    <t>Suðurgata 57 - þjónustu og orkukaup</t>
  </si>
  <si>
    <t>Suðurgata 57 samtals</t>
  </si>
  <si>
    <t>Stúka, Akranesvelli - eigin vinna</t>
  </si>
  <si>
    <t>Stúka, Akranesvelli - þjónustu og orkukaup</t>
  </si>
  <si>
    <t>Stúka, Akranesvelli samtals</t>
  </si>
  <si>
    <t>Slökkvistöð - viðhald húsnæðis</t>
  </si>
  <si>
    <t>Slökkvistöð - eigin vinna</t>
  </si>
  <si>
    <t>Sambýli laugarbraut - viðhald húsnæðis</t>
  </si>
  <si>
    <t>Sambýli Laugarbraut - eigin vinna</t>
  </si>
  <si>
    <t>Sambýli Laugarbraut - þjónustu og orkukaup</t>
  </si>
  <si>
    <t>31670</t>
  </si>
  <si>
    <t>Sambýli Vesturgötu - þjónustu og orkukaup</t>
  </si>
  <si>
    <t>Fjöliðjan - viðhald húsnæðis</t>
  </si>
  <si>
    <t>Fjöliðjan - eigin vinna</t>
  </si>
  <si>
    <t>31830</t>
  </si>
  <si>
    <t>2690</t>
  </si>
  <si>
    <t>Óráðstafað samkv. áætlun - aðrar vörur v.mannvirkjagerðar</t>
  </si>
  <si>
    <t>Óráðstafað samkv.áætlun - vörukaup</t>
  </si>
  <si>
    <t>óráðstafað samkv.áætlun - viðhald húsnæðis</t>
  </si>
  <si>
    <t>Óráðstafað samkv.áætlun - eigin vinna</t>
  </si>
  <si>
    <t>Óráðstafað samkv.áætlun - þjónustu og orkukaup</t>
  </si>
  <si>
    <t>Virkniúrræði - flutt á félagsmál v/endurg</t>
  </si>
  <si>
    <t>Skipulags og byggingarmál samtals</t>
  </si>
  <si>
    <t>Upplýsingarstöð ferðmanna samtals</t>
  </si>
  <si>
    <t>Óráðstafað samkv. áætlun samtals</t>
  </si>
  <si>
    <t>05520</t>
  </si>
  <si>
    <t>Breiðin sérstakt verkefni - framkv.áætlun</t>
  </si>
  <si>
    <t>SKI2015-02</t>
  </si>
  <si>
    <t xml:space="preserve">Tillaga sviðsstj. </t>
  </si>
  <si>
    <t>Breiðin sérstakt verkefni - þjónustu og orkukaup</t>
  </si>
  <si>
    <t>09220</t>
  </si>
  <si>
    <t>Aðalskipulag - framkv.áætlun</t>
  </si>
  <si>
    <t>Aðalskipulag - þjónustu og orkukaup</t>
  </si>
  <si>
    <t>SKI2015-05</t>
  </si>
  <si>
    <t>Deiliskipulag - framkv.áætlun</t>
  </si>
  <si>
    <t>Deiliskipulag - þjónustu og orkukaup</t>
  </si>
  <si>
    <t>SKI2015-03/04</t>
  </si>
  <si>
    <t>Deiliskipulag samtals</t>
  </si>
  <si>
    <t>Sementverksm.v.skipulags -  annar rekstrarkostnaður</t>
  </si>
  <si>
    <t>05580</t>
  </si>
  <si>
    <t>4636</t>
  </si>
  <si>
    <t>Listaverk - þjónustu og orkukaup</t>
  </si>
  <si>
    <t>07440</t>
  </si>
  <si>
    <t>Sjóvarnagarðar - framkv.áætlun 2015</t>
  </si>
  <si>
    <t>Sjóvarnagarðar - þjónustu og orkukaup</t>
  </si>
  <si>
    <t>GÖ2014-08</t>
  </si>
  <si>
    <t>11410</t>
  </si>
  <si>
    <t>Sláttur og hirðing opinna svæða - framkv.áætlun 2015</t>
  </si>
  <si>
    <t>Sláttur og hirðing opinna svæða - þjónustu og orkukaup</t>
  </si>
  <si>
    <t>OPSV2015-03</t>
  </si>
  <si>
    <t>11430</t>
  </si>
  <si>
    <t>Matjurtagarðar - framkv.áætlun 2015</t>
  </si>
  <si>
    <t>Matjurtagarðar - þjónustu og orkukaup</t>
  </si>
  <si>
    <t>OPSV2015-02</t>
  </si>
  <si>
    <t>11470</t>
  </si>
  <si>
    <t>Girðing þéttbýlislands - framkv.áætlun 2015</t>
  </si>
  <si>
    <t>Girðing þéttbýlislands - þjónustu og orkukaup</t>
  </si>
  <si>
    <t>OPSV2015-01</t>
  </si>
  <si>
    <t>31740</t>
  </si>
  <si>
    <t>Áhold og tæki - framkv.áætlun 2015</t>
  </si>
  <si>
    <t>Áhöld og tæki - þjónustu og orkukaup</t>
  </si>
  <si>
    <t>FJÁ2015-06</t>
  </si>
  <si>
    <t>Tillaga dsviðsstj.</t>
  </si>
  <si>
    <t>Leikvellir - framkv.áætlun 2015</t>
  </si>
  <si>
    <t>Leikvellir - þjónustu og orkukaup</t>
  </si>
  <si>
    <t>leikvellir samtals</t>
  </si>
  <si>
    <t>Íþróttavallarmannvirki - þjónustu og orkukaup</t>
  </si>
  <si>
    <t>GÖ2014-15</t>
  </si>
  <si>
    <t>Íþróttavallarmannvirki samtals</t>
  </si>
  <si>
    <t>Sementsverksm. - framkv.áætlun</t>
  </si>
  <si>
    <t>Sementsverksm.v.skipulag - þjónustu og orkukaup</t>
  </si>
  <si>
    <t>SKI2015-01</t>
  </si>
  <si>
    <t>Sementverksm.v/skipulags</t>
  </si>
  <si>
    <t>10530</t>
  </si>
  <si>
    <t>Umferðamerkingar - þjónustu og orkukaup</t>
  </si>
  <si>
    <t>13630</t>
  </si>
  <si>
    <t>Tjaldsvæði og almenningssalerni - þjónustu og orkukaup</t>
  </si>
  <si>
    <t>31950</t>
  </si>
  <si>
    <t>Óviss útgjöld - framkv.áætlun 2015</t>
  </si>
  <si>
    <t>óviss útgjöld - þjónustu og orkukaup</t>
  </si>
  <si>
    <t>FJÁ2015-07</t>
  </si>
  <si>
    <t>Gatnakerfi - framkv.áætlun</t>
  </si>
  <si>
    <t>Gatnakerfi - þjónustu og orkukaup</t>
  </si>
  <si>
    <t>Gatnakerfi samtals</t>
  </si>
  <si>
    <t>10410</t>
  </si>
  <si>
    <t>Gangstígar - framkv.áætlun</t>
  </si>
  <si>
    <t>Golfvöllur -framkv.áætlun 2015</t>
  </si>
  <si>
    <t>Golfvöllur - framlög og styrkir</t>
  </si>
  <si>
    <t>FJÁ2015-05</t>
  </si>
  <si>
    <t>Golfvöllur samtals</t>
  </si>
  <si>
    <t>Framkvæmtáætlun flutt út á liði</t>
  </si>
  <si>
    <t>Þrónnarsjóður skóla- og frístundarsviðs - framlög og styrkir</t>
  </si>
  <si>
    <t>óráðstafað samkvæmt áætlun - þjónustu og orkukaup</t>
  </si>
  <si>
    <t>11850</t>
  </si>
  <si>
    <t>Aðalsj.</t>
  </si>
  <si>
    <t>Greidd lífeyrisskuldbinding</t>
  </si>
  <si>
    <t>Innborgun á lífeyrisskuldbindingu</t>
  </si>
  <si>
    <t>Eignasj.</t>
  </si>
  <si>
    <t>Tekin ný lán, eigin fyrirtæki</t>
  </si>
  <si>
    <t>Afborganir langtímalána , eigin fyrirtæki</t>
  </si>
  <si>
    <t>Fasteign.f</t>
  </si>
  <si>
    <t>Byggðas</t>
  </si>
  <si>
    <t>Fast. Ehf</t>
  </si>
  <si>
    <t>Höfði</t>
  </si>
  <si>
    <t>Fast.fél</t>
  </si>
  <si>
    <t>Fast.fél.</t>
  </si>
  <si>
    <t>Millif</t>
  </si>
  <si>
    <t>Fast.ehf</t>
  </si>
  <si>
    <t>Millif  A-B hluti</t>
  </si>
  <si>
    <t>Listaverk - v/Breið</t>
  </si>
  <si>
    <t>Bæjarráð tölul. 7</t>
  </si>
  <si>
    <t>Listaverk - annar rekstur</t>
  </si>
  <si>
    <t>Listaverk samtals</t>
  </si>
  <si>
    <t>íþróttamannvirki - þorrablót Skagamanna</t>
  </si>
  <si>
    <t>Aðalsj</t>
  </si>
  <si>
    <t>Fasteign</t>
  </si>
  <si>
    <t>Sorphreinsun - þjónustugjöld</t>
  </si>
  <si>
    <t>Brekkubæjarskóli - styrkir og framlög</t>
  </si>
  <si>
    <t>????</t>
  </si>
  <si>
    <t>Styrkir 2016 - Brekkubæjarskóli v/söngleiks</t>
  </si>
  <si>
    <t>Styrkir 2016 v/Ársæll Rafn Erlingsson v/stuttmyndar</t>
  </si>
  <si>
    <t>Styrkir 2016 v/Samkórinn Hljómur v/kóramóts v/25 ára afmæli</t>
  </si>
  <si>
    <t>Styrkir 2016 v/Nemendafél. Fjölbrautar v/söngleikur</t>
  </si>
  <si>
    <t>13890</t>
  </si>
  <si>
    <t>Ýmsir styrkir - viðkenningar fyrir nýsköpun</t>
  </si>
  <si>
    <t>Bæjarstjórn - tölul. 2</t>
  </si>
  <si>
    <t>7013</t>
  </si>
  <si>
    <t>Bæjarstjórn - styrkir og framlög</t>
  </si>
  <si>
    <t>21020</t>
  </si>
  <si>
    <t>KPMG - verkferlar og skipulag fjárhagsáætlunargerðar</t>
  </si>
  <si>
    <t>Bæjarráð samtals</t>
  </si>
  <si>
    <t>Bæjarráð - þjónustu og orkukaup</t>
  </si>
  <si>
    <t>Kjarasamningur við slökkviliðsmenn</t>
  </si>
  <si>
    <t>Slökkvistöð - laun- og launt.gjöld</t>
  </si>
  <si>
    <t>Norræna félagið v/ungmennamót í Bamble</t>
  </si>
  <si>
    <t>Aðgerðir vegna umferðaöryggis</t>
  </si>
  <si>
    <t>Gö2014-02</t>
  </si>
  <si>
    <t>Gö2015-03</t>
  </si>
  <si>
    <t>10420</t>
  </si>
  <si>
    <t xml:space="preserve">Gangstéttir - framkv.áætlun </t>
  </si>
  <si>
    <t>Gangstígar - þjónustu og orkukaup</t>
  </si>
  <si>
    <t>Gangstéttir - þjónustu og orkukaup</t>
  </si>
  <si>
    <t>Sementsreitur - framkvæmdaáætlun</t>
  </si>
  <si>
    <t>Fjá2015-10</t>
  </si>
  <si>
    <t>Umhverfis- og viðhaldsstyrkir - framkv.áætlun 2016</t>
  </si>
  <si>
    <t>Umhverfis- og viðhaldsstyrkir - framlög og styrkir</t>
  </si>
  <si>
    <t>Fjá2016-02</t>
  </si>
  <si>
    <t>Fjá2016-01</t>
  </si>
  <si>
    <t>Sparkvellir - viðhald Framkv.áætlun</t>
  </si>
  <si>
    <t>Sparkvellir - þjónustu og orkukaup</t>
  </si>
  <si>
    <t>Sparkvellir samtals</t>
  </si>
  <si>
    <t>7007</t>
  </si>
  <si>
    <t>11420</t>
  </si>
  <si>
    <t>Hreinsun opinna svæða - Græn verkefni framkv.áætlun</t>
  </si>
  <si>
    <t>Opsv2015-03</t>
  </si>
  <si>
    <t>Hreinsun opinna svæða - þjónustu og orkukaup</t>
  </si>
  <si>
    <t>Leikvellir - framkvæmdaáætl.</t>
  </si>
  <si>
    <t>Leikvellir samtals</t>
  </si>
  <si>
    <t>Opsv2015-05</t>
  </si>
  <si>
    <t>08570</t>
  </si>
  <si>
    <t>Eftirlit með hunda- og kattahaldi</t>
  </si>
  <si>
    <t>Þjónusta til eigin nota - Dýraeftirlit</t>
  </si>
  <si>
    <t>Skiplagsstofa - innri afnot</t>
  </si>
  <si>
    <t>Þjónusta til eigin nota - Skipulags- og umhv.st.</t>
  </si>
  <si>
    <t>Gatnakerfi - innri afnot</t>
  </si>
  <si>
    <t>Þjónusta til eigin nota - Viðhald gatnakerfis</t>
  </si>
  <si>
    <t>Þjónusta til eigin nota - Garðyrkja sumarstörf</t>
  </si>
  <si>
    <t>Garðyrkja sumarstörf - innri afnot</t>
  </si>
  <si>
    <t>02300</t>
  </si>
  <si>
    <t>Búkolla - þjónustu- og orkukaup</t>
  </si>
  <si>
    <t>Skrifstofa sveitarfélagsins - innri afnot, Búkolla</t>
  </si>
  <si>
    <t>Búkolla - innri þjónusta, bæjarskrifstofa</t>
  </si>
  <si>
    <t>Búkolla - innri þjónusta, atvinnumál fatlaðra</t>
  </si>
  <si>
    <t>Atvinnumál fatlaðra - Þjónusta til eigin nota bæjarskrifstofan</t>
  </si>
  <si>
    <t>Atvinnumál fatlaðra samtals</t>
  </si>
  <si>
    <t>Búkolla - innri þjónusta, Fjöliðjan</t>
  </si>
  <si>
    <t>Fjöliðjan - þjónusta til eigin nota Búkolla</t>
  </si>
  <si>
    <t>Fjöliðjan - aðrar tekjur</t>
  </si>
  <si>
    <t>13100</t>
  </si>
  <si>
    <t>Ferðamálafulltrúi - Þjónusta til eigin nota, tjaldsvæði</t>
  </si>
  <si>
    <t>Leikvellir - afskriftir fasteigna</t>
  </si>
  <si>
    <t>Leikvellir - afskrift</t>
  </si>
  <si>
    <t>Bókasafn - afskriftir véla og áhalda</t>
  </si>
  <si>
    <t>Bókasafn - afskrift</t>
  </si>
  <si>
    <t>Þjónustumiðstöð og tjaldsvæði - afskriftir</t>
  </si>
  <si>
    <t>Vallarsel - afskriftir fasteigna</t>
  </si>
  <si>
    <t>Stjórnsýsluhús afskriftir</t>
  </si>
  <si>
    <t>Áhold og tæki - afskrift áhalda og tækja</t>
  </si>
  <si>
    <t>Áhöld og tæki - Afskriftir</t>
  </si>
  <si>
    <t>Áhöld og tæki samtals</t>
  </si>
  <si>
    <t>Fjöliðjan - Afskrift véla og áhalda</t>
  </si>
  <si>
    <t>Fjöliðjan - afskriftir</t>
  </si>
  <si>
    <t>09250</t>
  </si>
  <si>
    <t>4810</t>
  </si>
  <si>
    <t>Eignakaup/ niðurrif húsa v/skipulags</t>
  </si>
  <si>
    <t>Eignakaup/niðurrif húsa - Þjónustu- og orkukaup</t>
  </si>
  <si>
    <t>Sementsverksm. - fasteignagjöld</t>
  </si>
  <si>
    <t>31010</t>
  </si>
  <si>
    <t>Leigulóðir - fasteignagjöld</t>
  </si>
  <si>
    <t>Leigulóðir - þjónustu- og orkukaup</t>
  </si>
  <si>
    <t>Íþróttamiðstöð - fasteignagjöld</t>
  </si>
  <si>
    <t>Stjórnsýsluhús -fasteignagjöld</t>
  </si>
  <si>
    <t>þjónustumiðstöð aldraðra - fasteignagjöld</t>
  </si>
  <si>
    <t>Þjónustumiðstöð aldraðra - þjónustu- og orkukaup</t>
  </si>
  <si>
    <t>Þjónustumiðstöð aldraðra samtals</t>
  </si>
  <si>
    <t>Vélageymsla - golfvelli - fsteignagjöld</t>
  </si>
  <si>
    <t>Vélageymsla - þjónustu- og orkukaup</t>
  </si>
  <si>
    <t>35 Fasteignafélag Akraneskaupstaðar slf</t>
  </si>
  <si>
    <t>35 Fasteignafélag samtala</t>
  </si>
  <si>
    <t>Framkv.áætlun - Guðlaug/laug við Langasand</t>
  </si>
  <si>
    <t>Framkv.áætlun - Guðlaug/styrkur frá framkv.sjóði ferðam.st.</t>
  </si>
  <si>
    <t>íþróttavallarmannvirki -framkv.áætlun 2016 v/Grastec</t>
  </si>
  <si>
    <t>11230</t>
  </si>
  <si>
    <t>Kirkjugarðar - Framkv.áætlun stígagerð og hækkun á landi</t>
  </si>
  <si>
    <t>Gö2009-02</t>
  </si>
  <si>
    <t>Kirkjugarðar - þjónustu og orkukaup</t>
  </si>
  <si>
    <t>Fjá2016-07</t>
  </si>
  <si>
    <t>Framkv.áætlun - skilti Hausthúsatorg</t>
  </si>
  <si>
    <t>35350</t>
  </si>
  <si>
    <t>35400</t>
  </si>
  <si>
    <t>Leikskóli, Ketilsflöt - fasteignagjöld</t>
  </si>
  <si>
    <t xml:space="preserve">Þjónustu- og orkukaup </t>
  </si>
  <si>
    <t>35550</t>
  </si>
  <si>
    <t>53280</t>
  </si>
  <si>
    <t>Sorpvinnsluhús</t>
  </si>
  <si>
    <t xml:space="preserve">Sorpvinnsluhús þjónustu- og orkukaup </t>
  </si>
  <si>
    <t>Akrasel - þjónustu- og orkukaup</t>
  </si>
  <si>
    <t>Tónlistarskóli - þjónustu- og orkukaup</t>
  </si>
  <si>
    <t>Akraneshöll - þjónustu- og orkukaup</t>
  </si>
  <si>
    <t>35290</t>
  </si>
  <si>
    <t>Fjölnota íþróttahús Jaðarsbökkum - fasteignagjöld</t>
  </si>
  <si>
    <t>0782</t>
  </si>
  <si>
    <t>Fjölnota íþróttahús Jaðarsbökkum - afnot eigna millifærð</t>
  </si>
  <si>
    <t>Fjölnota íþróttahús Jaðarsbökkun samtals</t>
  </si>
  <si>
    <t>Tónlistarskólinn Dalbraut 1 - afnot eigna millifærð</t>
  </si>
  <si>
    <t>Tónlistarskólinn Dalbraut samtals</t>
  </si>
  <si>
    <t>Leikskóli, Ketilsflöt - afnot eigna millifærð</t>
  </si>
  <si>
    <t>Leikskóli, Ketilsflöt samtals</t>
  </si>
  <si>
    <t>35500</t>
  </si>
  <si>
    <t>Bókasafn Dalbraut 1 - afnot eigna milliærð</t>
  </si>
  <si>
    <t>Aðrar tekjur</t>
  </si>
  <si>
    <t>Sambýlið Vesturgötu - innri leiga</t>
  </si>
  <si>
    <t>05310</t>
  </si>
  <si>
    <t>Héraðsskjalasafn - innri leiga</t>
  </si>
  <si>
    <t>05540</t>
  </si>
  <si>
    <t>Kirkjuhvoll búnaður - innri leiga</t>
  </si>
  <si>
    <t>Kirkjuhvoll - innri leiga</t>
  </si>
  <si>
    <t>Hreinsun opinna svæða - innri leiga</t>
  </si>
  <si>
    <t>Hreinsun opinna svæða samtals</t>
  </si>
  <si>
    <t>Upplýsingarmiðstöð ferðamanna - aðrar tekjur</t>
  </si>
  <si>
    <t>Tjaldsvæði - innri leiga</t>
  </si>
  <si>
    <t>Tjaldsvæði samtals</t>
  </si>
  <si>
    <t>Héraðsskjalasafn - húsaleiga millifærð</t>
  </si>
  <si>
    <t>31350</t>
  </si>
  <si>
    <t>Þjónustumiðstöð og tjaldsvæði samtals</t>
  </si>
  <si>
    <t>Þjónustumiðstöð og tjaldsvæði - arður af eignum</t>
  </si>
  <si>
    <t>Kirkjuhvoll - önnur eignaleiga millifærð</t>
  </si>
  <si>
    <t>Kirkjuhvoll - arður af eignum</t>
  </si>
  <si>
    <t>Sambýlið Vesturgötu - húsaleiga millifærð</t>
  </si>
  <si>
    <t>Sambýlið Vesturgötu - arður af eignum</t>
  </si>
  <si>
    <t>Áhöld og tæki  - önnur eignaleiga millifærð</t>
  </si>
  <si>
    <t>Áhöld og tæki - arður af eignum</t>
  </si>
  <si>
    <t>Afstemming Simmi</t>
  </si>
  <si>
    <t>Suðurgata 57 -fasteignagjöld</t>
  </si>
  <si>
    <t>Framkv.áætlun - tæki /búnaður</t>
  </si>
  <si>
    <t>Fjá2016-03</t>
  </si>
  <si>
    <t>Framkv.áætlun - tæki sundlaug</t>
  </si>
  <si>
    <t>Fjá2016-04</t>
  </si>
  <si>
    <t>Framkv.áætlun - bifreið</t>
  </si>
  <si>
    <t>Fjár2016-05</t>
  </si>
  <si>
    <t>Umferðamerkingar - framkv.áætlun - skilti</t>
  </si>
  <si>
    <t>leigulóðir - framkv.áætlun</t>
  </si>
  <si>
    <t>Atvinnumál fatlaðra - aðrar tekjur</t>
  </si>
  <si>
    <t>Skrifstofa sveitarfélagsins - aðrar tekjur</t>
  </si>
  <si>
    <t>Hunda- og kattah - þjónustu og orkukaup</t>
  </si>
  <si>
    <t>Skipulags- og byggingarmál - þjónustu og orkukaup</t>
  </si>
  <si>
    <t>Garðyrkja sumarstörf - þjónustu og orkukaup</t>
  </si>
  <si>
    <t>03 Heilbrigðismál</t>
  </si>
  <si>
    <t>03 Heilbrigðismál samtals</t>
  </si>
  <si>
    <t>03220</t>
  </si>
  <si>
    <t>Önnur framlög - fært af 08050/reglugerðnr.1212/2015</t>
  </si>
  <si>
    <t>Heilbrigðiseftirlit - styrkir og framlög</t>
  </si>
  <si>
    <t>08050</t>
  </si>
  <si>
    <t>Heilbrigðiseftirlit - framlög og styrkir</t>
  </si>
  <si>
    <t>Annar kostnaður samtals</t>
  </si>
  <si>
    <t>Bíóhöllin samtals</t>
  </si>
  <si>
    <t>Akraneshöll samtals</t>
  </si>
  <si>
    <t>62</t>
  </si>
  <si>
    <t>Byggðasafn - efnahagur</t>
  </si>
  <si>
    <t>02160</t>
  </si>
  <si>
    <t>5917</t>
  </si>
  <si>
    <t>Niðurgreiðsla dvalargjalda flutt á 04190</t>
  </si>
  <si>
    <t>Niðurgreiðsla dvalargjalda - styrkir og framlög</t>
  </si>
  <si>
    <t>02200</t>
  </si>
  <si>
    <t>Niðurgreidd þjónusta flutt á 04500</t>
  </si>
  <si>
    <t>Niðurgreidd þjónusta - styrkir og framlög</t>
  </si>
  <si>
    <t>04190</t>
  </si>
  <si>
    <t>Niðurgreiðsla dvalargjalda flutt af 02160</t>
  </si>
  <si>
    <t>Niðurgreidd þjónusta flutt á 02200</t>
  </si>
  <si>
    <t>04500</t>
  </si>
  <si>
    <t>02470</t>
  </si>
  <si>
    <t>Heilsuefling - Fjölþætt heilsurækt í sveitarfélögum</t>
  </si>
  <si>
    <t>Heilsurækt aldraðra - þjónustu og orkukaup</t>
  </si>
  <si>
    <t>4510</t>
  </si>
  <si>
    <t>4520</t>
  </si>
  <si>
    <t>Akraneshöll - Heitt vatn - flutt af 35290</t>
  </si>
  <si>
    <t>Akraneshöll - Rafmagn - flutt af 35290</t>
  </si>
  <si>
    <t>4540</t>
  </si>
  <si>
    <t>Akraneshöll - Kalt vatn - flutt af 35290</t>
  </si>
  <si>
    <t>Akraneshöll - þjónustu og orkukaup</t>
  </si>
  <si>
    <t>Akraneshöll - rafmagn - flutt á 06530</t>
  </si>
  <si>
    <t>Akraneshöll - heitt vatn - flutt á 06530</t>
  </si>
  <si>
    <t>Akraneshöll - kalt vatn - flutt á 06530</t>
  </si>
  <si>
    <t>02950</t>
  </si>
  <si>
    <t>1697</t>
  </si>
  <si>
    <t>Óviss útgjöld - kjarasamningar</t>
  </si>
  <si>
    <t>Óviss útgjöld - Laun, óúthlutað</t>
  </si>
  <si>
    <t>05950</t>
  </si>
  <si>
    <t>06950</t>
  </si>
  <si>
    <t>11950</t>
  </si>
  <si>
    <t>13950</t>
  </si>
  <si>
    <t>21950</t>
  </si>
  <si>
    <t>Launapottur - Laun, óúthlutað</t>
  </si>
  <si>
    <t>09950</t>
  </si>
  <si>
    <t>Endurreiknuð laun v/kjarasamninga</t>
  </si>
  <si>
    <t>Launaliður</t>
  </si>
  <si>
    <t>Endurreiknaður v/starfsmannabílar</t>
  </si>
  <si>
    <t>07950</t>
  </si>
  <si>
    <t>Staðgreiðsla - endurskoðuð áætlun</t>
  </si>
  <si>
    <t>Tillaga bæjarstjóra</t>
  </si>
  <si>
    <t>Knattspynufél. - auglýsingarspjald</t>
  </si>
  <si>
    <t>Knattspyrnufélag ÍA - þjónustu og orkukaup</t>
  </si>
  <si>
    <t>Knattspyrnufélag ÍA samtals</t>
  </si>
  <si>
    <t>Búsetuþjónusta Holtsflöt - annar rekstrarkostnaður</t>
  </si>
  <si>
    <t>Sig. Kristinss. - kostnaður vegna flutninga - bótakrafa</t>
  </si>
  <si>
    <t>0341</t>
  </si>
  <si>
    <t>Fjölnota íþróttahús Jaðarsbökkum - leiðrétt leiga</t>
  </si>
  <si>
    <t>Arður af eignum</t>
  </si>
  <si>
    <t>4420</t>
  </si>
  <si>
    <t>Tónlistarskólinn Dalbraut 1 - leiðrétt leiga Tónlistarskólinn</t>
  </si>
  <si>
    <t>Leikskóli, Ketilsflöt - Leiðrétt leiga Akrasel</t>
  </si>
  <si>
    <t>Bókasafn Dalbraut 1 - Leiðrétt leiga Bókasafn</t>
  </si>
  <si>
    <t>Arður ef eignum</t>
  </si>
  <si>
    <t>Leiga Suðurgötu 57</t>
  </si>
  <si>
    <t>0340</t>
  </si>
  <si>
    <t>4490</t>
  </si>
  <si>
    <t>Tónlistarskólinn Dalbraut 1 - Hússjóður Tónlistarskólans</t>
  </si>
  <si>
    <t>Bókasafn Dalbraut 1 - Hússjóður Bókasafni</t>
  </si>
  <si>
    <t>Brekkubæjarskóli - egr.v/laun í námsleyfi Arnh. Helgad jan-júlí</t>
  </si>
  <si>
    <t>28010</t>
  </si>
  <si>
    <t>0420</t>
  </si>
  <si>
    <t>Vaxtatekjur af bankainnistæðum - hækkun</t>
  </si>
  <si>
    <t>Grundaskóli - endurnýjun á tölvubúnaði</t>
  </si>
  <si>
    <t>Brekkubæjarskóli - endurnýjun á tölvubúnaði</t>
  </si>
  <si>
    <t>Tónlistarskólinn - úthlutun úr tækjakaupasjóði ljósritunarvél</t>
  </si>
  <si>
    <t>Bæjarskrifst. - Tækjakaupasjóður ljósritunarvél</t>
  </si>
  <si>
    <t>Tónlistarskóli ljósritunarvél</t>
  </si>
  <si>
    <t>Bæjarskrifstofa ljósritunarvél</t>
  </si>
  <si>
    <t>Skólaskrifstofa - WISC-IV greiningartæki</t>
  </si>
  <si>
    <t>Skólaskrifstofa - greiningartæki</t>
  </si>
  <si>
    <t>Grundaskóli - veikindapottur</t>
  </si>
  <si>
    <t>Teigasel - veikindapottur</t>
  </si>
  <si>
    <t>Brekkubæjarskóli - veikindapottur</t>
  </si>
  <si>
    <t>Vallarsel - veikindapottur</t>
  </si>
  <si>
    <t>Akrasel - veikindapottur</t>
  </si>
  <si>
    <t>Íþróttamannvirki - veikindapottur</t>
  </si>
  <si>
    <t>Skóla- og frístundasvið - veikindapottur</t>
  </si>
  <si>
    <t>Styrkir til greiðslu fasteignaskatts - KFUM og KFUK</t>
  </si>
  <si>
    <t>Styrkir til greiðslu fasteignaskatts - Skátafélag Akraness</t>
  </si>
  <si>
    <t>Styrkir til greiðslu fasteignaskatts - Hestamannaf. Dreyri</t>
  </si>
  <si>
    <t>Styrkir til greiðslu fasteignaskatts - félög</t>
  </si>
  <si>
    <t>13680</t>
  </si>
  <si>
    <t>Vitinn Breið - húsaleiga Vegagerð</t>
  </si>
  <si>
    <t>Vitinn Breið - þjónustu og orkukaup</t>
  </si>
  <si>
    <t>Vitinn á Breið - húsaleiga Vegagerð</t>
  </si>
  <si>
    <t>Bæjarráð tölul. 2</t>
  </si>
  <si>
    <t>13120</t>
  </si>
  <si>
    <t>Markaður - flutt á hátíðarhöld jólatrésskemmtun</t>
  </si>
  <si>
    <t>Markaður - þjónustu og orkukaup</t>
  </si>
  <si>
    <t>Framlög - viðauki nr. 1</t>
  </si>
  <si>
    <t>Þjónustudaggjöld - viðauki nr.1</t>
  </si>
  <si>
    <t>Höfði - þjónustutekjur og aðrar tekjur</t>
  </si>
  <si>
    <t>Lífeyrisskuldbinding</t>
  </si>
  <si>
    <t>Höfði - launakostnaður</t>
  </si>
  <si>
    <t>Höfði - lífeyrisskuldbinding</t>
  </si>
  <si>
    <t>Annar rekstrarkostnaðaur - viðauki nr.1</t>
  </si>
  <si>
    <t>Lífeyrisskuldbinding - viðauki nr.1</t>
  </si>
  <si>
    <t>Laun og launtengd gjöld - viðauki nr.1</t>
  </si>
  <si>
    <t>Höfði - þjónustu- og orkukaup</t>
  </si>
  <si>
    <t>Lífeyrisskuldbinding yfirtekin af ríkissjóði - viðauki nr.1</t>
  </si>
  <si>
    <t>Lífeyrisskuldbinding yfirtekin af eignaraðilum - viðauki nr.1</t>
  </si>
  <si>
    <t>Höfði - óreglulegir liðir</t>
  </si>
  <si>
    <t>Fjármagnstekjur og -gjöld</t>
  </si>
  <si>
    <t>Óreglulegir liðir</t>
  </si>
  <si>
    <t>Höfði fjárfesting:</t>
  </si>
  <si>
    <t>Höfði samtals</t>
  </si>
  <si>
    <t>Breytingar á Höfða vegna skipulagsbreytinga</t>
  </si>
  <si>
    <t>Höfði - efnahagur</t>
  </si>
  <si>
    <t>Sérdeild Brekkubæjarskóla - veikindapottur</t>
  </si>
  <si>
    <t>Búsetuþj.Holtsflöt - veikindapottur</t>
  </si>
  <si>
    <t>Heimaþjónusta - veikindapottur</t>
  </si>
  <si>
    <t>Sambýlið Laugarbraut - veikindapottur</t>
  </si>
  <si>
    <t>Fjöliðjan - veikindapottur</t>
  </si>
  <si>
    <t>Fjöliðjan - launaliður</t>
  </si>
  <si>
    <t>Fjöliðjan hæfing - veikindapottur</t>
  </si>
  <si>
    <t>Sérdeild Brekkubæjarskóla - stuningsfulltrúi 01.05.-10.06.16</t>
  </si>
  <si>
    <t>Sérdeild Brekkubæjarskóla - stuðningsfulltrúi haust</t>
  </si>
  <si>
    <t>Sviðsfundur tölul. 2</t>
  </si>
  <si>
    <t>Borðtölva fyrir upplýsingamiðstöð</t>
  </si>
  <si>
    <t>Farsími fyrir ferðaþjónustu</t>
  </si>
  <si>
    <t>Fartölva fyrir búsetuþjónustu Holtsflöt</t>
  </si>
  <si>
    <t>Kaup á borð- og eldunarbúnaði v/rekstrarsamn við Garðakaffi</t>
  </si>
  <si>
    <t>Bæjarstjóri</t>
  </si>
  <si>
    <t>Sófi fyrir búsetuþjónustu Holtsflöt samkv.tilboði</t>
  </si>
  <si>
    <t>Samþykkt í tölvupósti</t>
  </si>
  <si>
    <t>Endurnýjun tölvubúnaðar, felliborð og stólar - Vallarsel</t>
  </si>
  <si>
    <t>Sviðsfundur tölul. 6</t>
  </si>
  <si>
    <t>Kaup á nýjum kubba- og skúffuskápum - Garðasel</t>
  </si>
  <si>
    <t>kaup á nýrri tölvu fyrir skólastj. Tónlistarskóla</t>
  </si>
  <si>
    <t>Ódags.</t>
  </si>
  <si>
    <t>Kaup á fjórum tölvuskjám ksv. Beiðni sviðsstj. Stjórn- og fjár</t>
  </si>
  <si>
    <t>Kaup á tölvu fyrir héraðskjalavörð skv. Beiðni Ellu Maríu</t>
  </si>
  <si>
    <t>Nýir skjalaskápar fyrir velferðasvið</t>
  </si>
  <si>
    <t>Sundfélag - endurnýjun á "pödsum" í sundlaug Jaðarsb.</t>
  </si>
  <si>
    <t>Íþróttam. Jaðarsbökkum - kaup á "Pödsum"</t>
  </si>
  <si>
    <t>21140</t>
  </si>
  <si>
    <t>Alþingiskosningar - endurgr.ríkissjóðs</t>
  </si>
  <si>
    <t>Alþingiskosningar - endurgreiðslur</t>
  </si>
  <si>
    <t>Alþingiskosningar - laun og launatengd gjöld</t>
  </si>
  <si>
    <t>Alþingiskosningar - launaliður</t>
  </si>
  <si>
    <t>Alþingiskosningar - auglýsingar</t>
  </si>
  <si>
    <t>Alþingiskosningar - aðkeypt önnur vinna</t>
  </si>
  <si>
    <t>5103</t>
  </si>
  <si>
    <t>Alþingiskosningar - Innri afnot mannvirki</t>
  </si>
  <si>
    <t>5107</t>
  </si>
  <si>
    <t>Alþingiskosningar - Innri afnot vinna</t>
  </si>
  <si>
    <t>Alþingiskosningar samtals</t>
  </si>
  <si>
    <t>Alþingiskosningar - þjónustu- og orkukaup</t>
  </si>
  <si>
    <t>02110</t>
  </si>
  <si>
    <t>Fjárhagsaðstoð færð yfir á Barnavernd</t>
  </si>
  <si>
    <t>5911</t>
  </si>
  <si>
    <t>Fjárhagsaðstoð - styrkir og framlög</t>
  </si>
  <si>
    <t>Barnavernd - vistun barna</t>
  </si>
  <si>
    <t>Barnavernd samtals</t>
  </si>
  <si>
    <t>Liðveisla - flutt á stuðningsfjölskyldur</t>
  </si>
  <si>
    <t>02230</t>
  </si>
  <si>
    <t>Stuðningsfjölskyldur - flutt af liðveislu</t>
  </si>
  <si>
    <t>Stuðningsfjölskyldur - þjónustu og orkukaup</t>
  </si>
  <si>
    <t>íþróttahús Vesturgötu -dýnur</t>
  </si>
  <si>
    <t>Sviðsfundur tölul.2</t>
  </si>
  <si>
    <t>Heimaþjónusta - tölva fyrir heimaþjónustu</t>
  </si>
  <si>
    <t>Fjöliðjan - Pappírstætari</t>
  </si>
  <si>
    <t>Skrifstofa velferðar- og mannrétt - tveir símar</t>
  </si>
  <si>
    <t>Upplýsingamiðstöð - borðtölva</t>
  </si>
  <si>
    <t>Upplýsingamiðstöð - farsími fyrir ferðaþjónustu</t>
  </si>
  <si>
    <t>4661</t>
  </si>
  <si>
    <t>2840</t>
  </si>
  <si>
    <t>Byggðasafn safnaskáli - Borð og eldunarbúnaðar v/rekstrarsamn.</t>
  </si>
  <si>
    <t xml:space="preserve">Safnaskáli -vörukaup </t>
  </si>
  <si>
    <t>Safnaskáli samtals</t>
  </si>
  <si>
    <t>4650</t>
  </si>
  <si>
    <t>Vallarsel - endurnýjun tölvubún. + felliborð og stólar</t>
  </si>
  <si>
    <t>Garðasel - Kubba- og skúffuskápar</t>
  </si>
  <si>
    <t>Tónlistarskólinn - úthlutun úr tækjak.sjóði tölva fyrir skólastj.</t>
  </si>
  <si>
    <t>Bæjarskrifst. - Tækjakaupasjóður fjórir tölvuskjáir</t>
  </si>
  <si>
    <t>Héraðsskjalasafn - þjónustu- og orkukaup</t>
  </si>
  <si>
    <t>Héraðsskjalasafn samtals</t>
  </si>
  <si>
    <t>4280</t>
  </si>
  <si>
    <t>Tölvupóstfræðsla - Eyjólfur Stefánsson premis</t>
  </si>
  <si>
    <t>Facebooknámskeið - símenntun/Sigurjón Jónsson</t>
  </si>
  <si>
    <t>Kostnaðarstjórnun og greining - Einar Procontrol</t>
  </si>
  <si>
    <t>ódags.</t>
  </si>
  <si>
    <t>Ipad grunnnámskeið - Sigurjón Jónsson</t>
  </si>
  <si>
    <t>Þjónustunámskeið bæjarskrifstofunnar - gerum betur</t>
  </si>
  <si>
    <t>Skyndihjálparnámskeið fyrir vinnuskólann - Rauði Krossinn</t>
  </si>
  <si>
    <t>Þjónustunámskeið þjónustudeildar - Gerum betur</t>
  </si>
  <si>
    <t>21690</t>
  </si>
  <si>
    <t>Facebooknámskeið símenntun/Sigurjón</t>
  </si>
  <si>
    <t>Kostnaðarstjónun og greining - Einar ProControl</t>
  </si>
  <si>
    <t>Annar starfsmannakostnaður - þjónustu og orkukaup</t>
  </si>
  <si>
    <t>4340</t>
  </si>
  <si>
    <t>Bæjarskrifst. - Tölvupóstfræðsla Eyjólfur Premis</t>
  </si>
  <si>
    <t>Bæjarskrifst. - Þjónustunámskeið bæjarskr. - gerum betur</t>
  </si>
  <si>
    <t>Vinnuskóli - skyndihjálparnámskeið -Rauði krossinn</t>
  </si>
  <si>
    <t>Vinnuskóli - þjónustu- og orkukaup</t>
  </si>
  <si>
    <t>Þorpið - skyndihjálparnámskeið Rauði krossinn</t>
  </si>
  <si>
    <t>Byggðasafn - verkfæri</t>
  </si>
  <si>
    <t xml:space="preserve">Byggðasafn sameiginlegt -þjónustu og orkukaup </t>
  </si>
  <si>
    <t>Sameiginlegt samtals</t>
  </si>
  <si>
    <t>Tilfærsla af 20830 - 4980</t>
  </si>
  <si>
    <t>Tillaga sviðsst. stjórnsýslu- og fjárm.sviðs</t>
  </si>
  <si>
    <t>Tilfærsla á 20830 - 4660</t>
  </si>
  <si>
    <t>Tilfærsla á 20830 - 4995</t>
  </si>
  <si>
    <t>Skrifstofa velferðar- og mannrétt - flutt á Barnavernd</t>
  </si>
  <si>
    <t>Tillaga sviðsstjóra/fjármálastj.</t>
  </si>
  <si>
    <t>Skrifstofa velferðar- mannréttindasviðs - launaliður</t>
  </si>
  <si>
    <t>Barnavernd -  launaliður</t>
  </si>
  <si>
    <t>Barnavernd  -  styrkir og framlög</t>
  </si>
  <si>
    <t>Brekkubæjarskóli - viðhald húsnæðis</t>
  </si>
  <si>
    <t>Tillaga framkv.deildar</t>
  </si>
  <si>
    <t>Tillaga framkvæmdad.</t>
  </si>
  <si>
    <t>Brekkubæjarskóli - vörukaup</t>
  </si>
  <si>
    <t>Grundaskóli - viðhald húsnæðis</t>
  </si>
  <si>
    <t>Grundaskóli - vörukaup</t>
  </si>
  <si>
    <t>Vallarsel - viðhald húsnæðis</t>
  </si>
  <si>
    <t>Vallarsel - vörukaup</t>
  </si>
  <si>
    <t>Garðasel - vörukaup</t>
  </si>
  <si>
    <t>Teigasel - viðhald húsnæðis</t>
  </si>
  <si>
    <t>Teigasel - vörukaup</t>
  </si>
  <si>
    <t>Bjarnalaug - vörukaup</t>
  </si>
  <si>
    <t>Tillaga framkv.nefndar</t>
  </si>
  <si>
    <t>íþróttamiðstöð - vörukaup</t>
  </si>
  <si>
    <t>Íþróttamiðstöð - viðhald húsnæðis</t>
  </si>
  <si>
    <t>Íþróttahús Vesturg. - viðhald húsnæðis</t>
  </si>
  <si>
    <t>Íþróttahús Vesturgötu - vörukaup</t>
  </si>
  <si>
    <t>íþróttavallarmannvirki - viðhald húsnæðis</t>
  </si>
  <si>
    <t>Stúka Akranesvelli - vörukaup</t>
  </si>
  <si>
    <t>Íþróttavallarmannvirki - viðhald húsnæðis</t>
  </si>
  <si>
    <t>leiguíbúðir - viðhald húsnæðis</t>
  </si>
  <si>
    <t>Leiguíbúðir - vörukaup</t>
  </si>
  <si>
    <t>Bíóhöllin - vörukaup</t>
  </si>
  <si>
    <t>Kirkjuhvoll - vörukaup</t>
  </si>
  <si>
    <t>Þjóðbraut 13, Þorpið - viðhald húsnæðis</t>
  </si>
  <si>
    <t>Þjóðbraut 13, Þorpið - vörukaup</t>
  </si>
  <si>
    <t>Áhaldahús - vörukaup</t>
  </si>
  <si>
    <t>Stjórnsýsluhús vörukaup</t>
  </si>
  <si>
    <t>Suðurgötu 57, viðhald húsnæðis</t>
  </si>
  <si>
    <t>Suðurgata 57 landsbankahús - vörukaup</t>
  </si>
  <si>
    <t>Slökkvistöð - vörukaup</t>
  </si>
  <si>
    <t>Fjöliðjan - vörukaup</t>
  </si>
  <si>
    <t>Sambýlið Laugarbraut - viðhald húsnæðis</t>
  </si>
  <si>
    <t>Sambýlið Laugarbraut - vörukaup</t>
  </si>
  <si>
    <t>Sambýlið Vesturgötu - viðhald húsnæðis</t>
  </si>
  <si>
    <t>Sambýlið Vesturgötu - vörukaup</t>
  </si>
  <si>
    <t>Gróðrarstöð - viðhald húsnæðis</t>
  </si>
  <si>
    <t>Gróðrarstöð - þjónustu- og orkukaup</t>
  </si>
  <si>
    <t>Gróðrarstöð samtals</t>
  </si>
  <si>
    <t>0860</t>
  </si>
  <si>
    <t>4240</t>
  </si>
  <si>
    <t>Brekkubæjarskóli - Leiðr. v/styrkur Rannsóknamiðstöðvar</t>
  </si>
  <si>
    <t>Tillaga fjármálast. v/leiðr.</t>
  </si>
  <si>
    <t>61950</t>
  </si>
  <si>
    <t>61510</t>
  </si>
  <si>
    <t>Byggðasafn Sigurfari - styrkur</t>
  </si>
  <si>
    <t xml:space="preserve">Sigurfari- aðrar tekjur </t>
  </si>
  <si>
    <t>Byggðasafn Sigurfari - laun og launat.gjöld</t>
  </si>
  <si>
    <t xml:space="preserve">Sigurfari- launaliður </t>
  </si>
  <si>
    <t>Byggðasafn Sigurfari - ýmislegt (m.a ferða og dvalark)</t>
  </si>
  <si>
    <t xml:space="preserve">Sigurfari- þjónustu- og orkukaup </t>
  </si>
  <si>
    <t>Sigurfari samtals</t>
  </si>
  <si>
    <t>61580</t>
  </si>
  <si>
    <t>Byggðasafn Steinaríki - styrkur</t>
  </si>
  <si>
    <t>Byggðasafn Steinaríki - Önnur sérfræðiþjónusta</t>
  </si>
  <si>
    <t>Byggðasafn Steinaríki - aðkeypt önnur vinna</t>
  </si>
  <si>
    <t>21970</t>
  </si>
  <si>
    <t>Óreglulegir liðir - Önnur framlög - Höfði lífeyrisskuldb.</t>
  </si>
  <si>
    <t>Starfsdagur/mannauðsdagur</t>
  </si>
  <si>
    <t>STARFSD</t>
  </si>
  <si>
    <t>Tillaga verkefnisstjóra</t>
  </si>
  <si>
    <t>28020</t>
  </si>
  <si>
    <t>0380</t>
  </si>
  <si>
    <t>Fjármagnsgjöld - tekjur af áhættufjármunum</t>
  </si>
  <si>
    <t>Arður af hlutabréfum</t>
  </si>
  <si>
    <t>0382</t>
  </si>
  <si>
    <t>Arður af eignahlutum</t>
  </si>
  <si>
    <t>0493</t>
  </si>
  <si>
    <t>Ábyrgðagjald</t>
  </si>
  <si>
    <t>5702</t>
  </si>
  <si>
    <t>Fjármagnstekjuskattur</t>
  </si>
  <si>
    <t>31860</t>
  </si>
  <si>
    <t>5735</t>
  </si>
  <si>
    <t>Gengismunur reiknaður</t>
  </si>
  <si>
    <t>Fjármagnstekjur og -gjöld - fjárm.gj.</t>
  </si>
  <si>
    <t>Tjaldsvæði - þjónustutekjur</t>
  </si>
  <si>
    <t>Tjaldsvæði - Aðgangseyrir</t>
  </si>
  <si>
    <t>Tjaldsvæði - aðrar tekjur</t>
  </si>
  <si>
    <t>0892</t>
  </si>
  <si>
    <t>Tjaldsvæði - Aðrar tekjur m 11%Vsk</t>
  </si>
  <si>
    <t>Tjaldsvæði - laun og launt.gjöld</t>
  </si>
  <si>
    <t>Tjaldsvæði - launaliður</t>
  </si>
  <si>
    <t>2510</t>
  </si>
  <si>
    <t>Tjaldsvæði - endursöluvörur 11%vsk</t>
  </si>
  <si>
    <t>Tjaldsvæði - vörukaup</t>
  </si>
  <si>
    <t>2721</t>
  </si>
  <si>
    <t>Upplýsingarmiðstöð ferðmanna - fært af 2890</t>
  </si>
  <si>
    <t>upplýsingarmiðstöð ferðamanna - launaliður</t>
  </si>
  <si>
    <t>2890</t>
  </si>
  <si>
    <t>upplýsingarmiðstöð ferðamanna - vörukaup</t>
  </si>
  <si>
    <t>Vitinn Breið - laun og launat.gjöld</t>
  </si>
  <si>
    <t>Vitinn Breið - launaliður</t>
  </si>
  <si>
    <t>Vitinn Breið samtals</t>
  </si>
  <si>
    <t>Tjaldsvæði og almenningssalerni - viðhald áhalda vsk 24%</t>
  </si>
  <si>
    <t>Grundaskóli - hönnun vegna breytinga á yngsta stigi</t>
  </si>
  <si>
    <t>Bæjarstjóri/skólastjóri</t>
  </si>
  <si>
    <t>Grundaskoli - ný kennsluborð á unglingastigi</t>
  </si>
  <si>
    <t>Grundaskóli - tæki og fl.</t>
  </si>
  <si>
    <t>4632</t>
  </si>
  <si>
    <t>Grundaskóli - málningaframkv.</t>
  </si>
  <si>
    <t>2852</t>
  </si>
  <si>
    <t>Skóladagvist Grundaskóla - kennslufræðiefni</t>
  </si>
  <si>
    <t>Skóladagvist Grundaskóla - vörukaup</t>
  </si>
  <si>
    <t>Tillaga Bæjarstjóra/skólastjóri</t>
  </si>
  <si>
    <t>Frístund Grundaskóla samtals</t>
  </si>
  <si>
    <t>Skóladagvist Grundaskóla - flutt á 04230</t>
  </si>
  <si>
    <t>Tillaga skólastj/bæjarstjóra</t>
  </si>
  <si>
    <t>Grundaskóli - endurgr.annarra</t>
  </si>
  <si>
    <t>Grundaskóli - endurgreiðslur</t>
  </si>
  <si>
    <t>Bæjarráð tölul. 11 + viðauki</t>
  </si>
  <si>
    <t>Bæjarráð tölul. 11+ viðauki</t>
  </si>
  <si>
    <t>Bæjarráð tölul. 6 + viðauki</t>
  </si>
  <si>
    <t>Steinaríki samtals</t>
  </si>
  <si>
    <t xml:space="preserve">Steinaríki- endurgreiðslur </t>
  </si>
  <si>
    <t xml:space="preserve">Steinaríki- þjónustu- og orkukaup </t>
  </si>
  <si>
    <t>Alþingiskosningar - innri leiga</t>
  </si>
  <si>
    <t>Aðalsjóður</t>
  </si>
  <si>
    <t>Heimaþjónusta - þjónustu og orkukaup</t>
  </si>
  <si>
    <t>óreglulegir liðir - framlög og styrkir</t>
  </si>
  <si>
    <t>Vörur og þjónusta til eigin nota</t>
  </si>
  <si>
    <t>Brekkubæjarskóli - Alþingiskosningar</t>
  </si>
  <si>
    <t>Brekkubæjarskóli - vörur og þjónusta til eigin nota</t>
  </si>
  <si>
    <t>0740</t>
  </si>
  <si>
    <t>Skrifstofa sveitarfélagsins - Alþingiskosningar</t>
  </si>
  <si>
    <t>Skrifstofa sveitarfélagsins - vörur og þjónusta til eigin nota</t>
  </si>
  <si>
    <t>Veikindapottur fluttur út á svið</t>
  </si>
  <si>
    <t>06860</t>
  </si>
  <si>
    <t>Hestamannaf. v/styrkur vegna keppnisvallar</t>
  </si>
  <si>
    <t>Aðalsj. Lr.</t>
  </si>
  <si>
    <t>nr.1</t>
  </si>
  <si>
    <t>Lr.ársreikn</t>
  </si>
  <si>
    <t>lr.ársreikn</t>
  </si>
  <si>
    <t>Styrkur 2017 - Fjölbrautarsk. Vesturl. uppsetning söngleiks</t>
  </si>
  <si>
    <t>Styrkir 2017 - Kvennakórinn Ymur rekstrarstyrkur</t>
  </si>
  <si>
    <t>Styrkir 2017 - Karlakórinn Svanur restrarstyrkur</t>
  </si>
  <si>
    <t>Styrkir 2017 - Kristjana Halldórsd ljósmyndasýning</t>
  </si>
  <si>
    <t>Styrkir 2017 - Sundf. Akr. Varðveiting gagna Útvarps Akr.</t>
  </si>
  <si>
    <t>Styrkur 2017 - Hljómur kór eldri borgara rekstrarstyrkur</t>
  </si>
  <si>
    <t>Styrkir 2017 v/Jóhann Ársæll Atlason v/æfinga- og ferðakostn.</t>
  </si>
  <si>
    <t>Styrkir 2017 v/Fimleikafél. Akr. v/áhaldakaup - dýnur</t>
  </si>
  <si>
    <t>Styrkir 2017 v/Fimleikafél. v/vorsýningar</t>
  </si>
  <si>
    <t>Styrkir 2017 v/Keilufélag Akr v/kúlur, skór og fl.</t>
  </si>
  <si>
    <t>Styrkir 2017 v/ÍA v/námskeið á afrekssv. FVA</t>
  </si>
  <si>
    <t>Styrkir 2017 v/ÍA v/Íþróttasálfræðingur</t>
  </si>
  <si>
    <t>Styrkir 2017 v/ÍA v/tæki í þreksal</t>
  </si>
  <si>
    <t>Styrkir 2017 v/Sundfélag v/afreksferð til Bergen</t>
  </si>
  <si>
    <t>Styrkir 2017 v/Sundfélag v/ferðastyrkur Norðurlandam.mót</t>
  </si>
  <si>
    <t>Styrkir 2017 v/Sjóbaðsfélag v/viðburðir á árinu</t>
  </si>
  <si>
    <t>Styrkir 2017 v/Golfkl.Leynir v/endurnýjun tækja og áhalda</t>
  </si>
  <si>
    <t>Styrkir 2017 v/Skotfélag Akranes v/rekstrarstyrkur</t>
  </si>
  <si>
    <t>Styrkir 2017 v/ KFÍA v/markaðssetn. og efling knattsp á Akr.</t>
  </si>
  <si>
    <t>Styrkir 2017 v/Klifurfélag ÍA v/búnaðar- og verkefnastyrkur</t>
  </si>
  <si>
    <t>Styrkir 2017 v/Guðrún Carstensdóttir v/námskeið f/íþróttafólk</t>
  </si>
  <si>
    <t>Styrkir 2017 v/Íþróttafél.Þjótur v/rekstrarstyrkur</t>
  </si>
  <si>
    <t>Styrkir 2017 - FEBAN rekstrarstyrkur</t>
  </si>
  <si>
    <t>Styrkir vegna menningar-, íþrótta og atvinnumála árið 2017</t>
  </si>
  <si>
    <t>FJÁ2017-02</t>
  </si>
  <si>
    <t>Byggðasafn fjárfesting</t>
  </si>
  <si>
    <t>62100</t>
  </si>
  <si>
    <t>Byggðasafn, bátaskýli</t>
  </si>
  <si>
    <t>7021</t>
  </si>
  <si>
    <t>FJÁ2014-04</t>
  </si>
  <si>
    <t>Byggðasafn, bátaskýli - styrkur frá ríki</t>
  </si>
  <si>
    <t>Byggðasafn - fjárfesting</t>
  </si>
  <si>
    <t>Gö2017-07</t>
  </si>
  <si>
    <t>FJÁ2017-19</t>
  </si>
  <si>
    <t>Íþróttamiðstöð - Sundlaug, pottar og rennibrautir</t>
  </si>
  <si>
    <t>0730</t>
  </si>
  <si>
    <t>Afreikn. sviða vinna 24%</t>
  </si>
  <si>
    <t>Byggðasafn - Vörur og þjónusta til eigin nota</t>
  </si>
  <si>
    <t>7017</t>
  </si>
  <si>
    <t>Byggðasafn, bátaskýli - eigin vinna</t>
  </si>
  <si>
    <t>Sameiginlegir liðir - vörur og þjónusta til eigin nota</t>
  </si>
  <si>
    <t>Afreikn. Sviða eigin vinna 24%</t>
  </si>
  <si>
    <t>Barnavernd - heimild fyrir nýju stöðugildi</t>
  </si>
  <si>
    <t>FJÁ2017-08</t>
  </si>
  <si>
    <t>Opsv2017-03</t>
  </si>
  <si>
    <t>321000</t>
  </si>
  <si>
    <t>Framkv.áætl. - Sundlaug, pottar og rennibrautir</t>
  </si>
  <si>
    <t>Framkv.áætl. - Breið útivistarsvæði - eigin vinna</t>
  </si>
  <si>
    <t>Framkv.áætl. - Fjöliðjan gróðurhús</t>
  </si>
  <si>
    <t>Framkv.áætl. - Sementsreitur - fært á guðlaugu</t>
  </si>
  <si>
    <t>Framkv.áætl. - Guðlaug/styrkur frá minningarsj. GG/JG</t>
  </si>
  <si>
    <t>Eignakaup/niðurrif húsa - eignakaup</t>
  </si>
  <si>
    <t>5811</t>
  </si>
  <si>
    <t>Breiðargata - keypt land Sturlaugur Sturlaugsson</t>
  </si>
  <si>
    <t>Bæjarráð tölul. 17</t>
  </si>
  <si>
    <t>Eignakaup/niðurrif húsa samtals</t>
  </si>
  <si>
    <t>Tölvup. 10.01.17 Ella María</t>
  </si>
  <si>
    <t>Listaverk - leyfisgjöld í Sarp - flutt á 05310</t>
  </si>
  <si>
    <t>61210</t>
  </si>
  <si>
    <t>4010</t>
  </si>
  <si>
    <t>Byggðasafn - prentun færð yfir á 61180</t>
  </si>
  <si>
    <t>Tölvup 12.08.17 Ella María</t>
  </si>
  <si>
    <t xml:space="preserve">Byggðasafn Aðalsafnahús -þjónustu og orkukaup </t>
  </si>
  <si>
    <t>61570</t>
  </si>
  <si>
    <t>Byggðasafn Íþróttasafn - prentun færð yfir á 61180</t>
  </si>
  <si>
    <t xml:space="preserve">Byggðasafn safnaskáli - prentun færð yfir á 61180 </t>
  </si>
  <si>
    <t xml:space="preserve">Íþróttasafn- þjónustu- og orkukaup </t>
  </si>
  <si>
    <t>61180</t>
  </si>
  <si>
    <t>Byggðasafn - sýningar- og markaðsstarf - prentun flutt af liðum</t>
  </si>
  <si>
    <t xml:space="preserve">Byggðasafn sýningar- og markaðsstarf -þjónustu og orkukaup </t>
  </si>
  <si>
    <t>Verkefnisstjóri - þjónustu og orkukaup</t>
  </si>
  <si>
    <t>Verkefnastjóri - Stefnumótun í menningar- og safnam.</t>
  </si>
  <si>
    <t>Fasteignafélag fjárfesting</t>
  </si>
  <si>
    <t>Fasteignafélag - fjárfesting</t>
  </si>
  <si>
    <t>36100</t>
  </si>
  <si>
    <t>Frístundahús, golfskáli</t>
  </si>
  <si>
    <t>06010</t>
  </si>
  <si>
    <t>Starfshópur um framtíðaruppbygginu á Jaðarsb.</t>
  </si>
  <si>
    <t>Tómstunda- og forvarnarnefnd - launaliður</t>
  </si>
  <si>
    <t>Bæjarráð tölul. 4 + bæjarst. tölul. 3</t>
  </si>
  <si>
    <t>36</t>
  </si>
  <si>
    <t>Fasteignafélagið - efnahagur</t>
  </si>
  <si>
    <t>61360</t>
  </si>
  <si>
    <t>Byggðasafn stúkuhús - Ískápur</t>
  </si>
  <si>
    <t>Bæjarstjóri - sviðstjórafundur</t>
  </si>
  <si>
    <t xml:space="preserve">Stúkuhús -vörukaup </t>
  </si>
  <si>
    <t xml:space="preserve">Byggðasafn safnaskáli - endurnýjun á salerni </t>
  </si>
  <si>
    <t>Bókasafn - tölvukaup og uppsetning</t>
  </si>
  <si>
    <t>Bókasafn - vörukaup</t>
  </si>
  <si>
    <t>Bæjarskrifst. - Tækjakaupasjóður tölva og sími f/bæjarstjóra</t>
  </si>
  <si>
    <t>SA - sviðstjórafundur</t>
  </si>
  <si>
    <t>Bæjarskrifst. - Tækjakaupasjóður öryggiskortaprentari</t>
  </si>
  <si>
    <t>Garðasel - tölvubúnaður og uppsetning</t>
  </si>
  <si>
    <t>Ísskápur í Stúkuhúsið</t>
  </si>
  <si>
    <t>Endurnýjun á salerni Byggðasafn</t>
  </si>
  <si>
    <t>Tölvukaup og uppsetning Bókasafn</t>
  </si>
  <si>
    <t>Tölvubúnaður og sími f/bæjarstjóra</t>
  </si>
  <si>
    <t>Tölvubúnaður og uppsening Garðasel</t>
  </si>
  <si>
    <t>Sviðstjórafundur</t>
  </si>
  <si>
    <t>Öryggiskortaprentari - bæjarskrifstofa</t>
  </si>
  <si>
    <t>FJÁ2017-20</t>
  </si>
  <si>
    <t>Stúkuhús -þjónustu og orkukaup</t>
  </si>
  <si>
    <t>Stúkuhús samtals</t>
  </si>
  <si>
    <t xml:space="preserve">Viðauki nr. 2 við fjárhagsáætlun árið 2017 </t>
  </si>
  <si>
    <t>nr.2</t>
  </si>
  <si>
    <t xml:space="preserve">nr.1-2 </t>
  </si>
  <si>
    <t>nr.1-2</t>
  </si>
  <si>
    <t>nr.1 - 2</t>
  </si>
  <si>
    <t>Viðauki við fjárhagsáætlun  nr.  2</t>
  </si>
  <si>
    <t>Íþróttahús Vesturgötu - viðhald húsnæðis - landsleikur í körfu</t>
  </si>
  <si>
    <t>Landsleikur í körfu - viðhald húsnæðis Vesturg.íþróttahús</t>
  </si>
  <si>
    <t>Bæjarráð tölul.4</t>
  </si>
  <si>
    <t>Barnavernd - veikindapottur</t>
  </si>
  <si>
    <t>4456</t>
  </si>
  <si>
    <t>Tjaldsvæði - hreinlætisvörur v/skátamót</t>
  </si>
  <si>
    <t>4681</t>
  </si>
  <si>
    <t>Tjaldsvæði v/gámaleiga v/skátamót</t>
  </si>
  <si>
    <t>Tjaldsvæði v/flutningur á gámum - skátamót</t>
  </si>
  <si>
    <t>4629</t>
  </si>
  <si>
    <t>Tjaldsvæði v/tengivinna - skátamót</t>
  </si>
  <si>
    <t>4627</t>
  </si>
  <si>
    <t>Tjaldsvæði v/grill - skátamót</t>
  </si>
  <si>
    <t>Bandalag ísl. Skáta - skátamót - tjaldsvæði</t>
  </si>
  <si>
    <t>Mth. Ehf - árbók Akurnesinga - augl.</t>
  </si>
  <si>
    <t>Árbók Akurnesinga - auglýsing</t>
  </si>
  <si>
    <t>Bjarnalaug - baðbekkur og hitalampi</t>
  </si>
  <si>
    <t>Bjarnalaug -vörukaup</t>
  </si>
  <si>
    <t>Þorpið vegna fatlaðra - baðbekkur, ferðalyftari og dýna</t>
  </si>
  <si>
    <t>Þorpið vegna fatlaðra - vörukaup</t>
  </si>
  <si>
    <t>Þorpið vegna fatlaðra samtals</t>
  </si>
  <si>
    <t>Hjálpartæki í frístundastarfi á vegum akraneskaupstaðar</t>
  </si>
  <si>
    <t>Upplýsingarmiðstöð ferðmanna - upplýsingarskilti og vegvísar</t>
  </si>
  <si>
    <t>Upplýsingarskilti og vegvísar</t>
  </si>
  <si>
    <t>Fjölnotapokar - samstarfsverkefni við Íþróttab. Akr.</t>
  </si>
  <si>
    <t>Fjölnotapokar - samstarfsverkefni IA og Akranesk.</t>
  </si>
  <si>
    <t>Könnun á högum og líðan ungs fólks á Akranesi</t>
  </si>
  <si>
    <t>Ráðning stuðningsfulltrúa í tímabundið starf í Brekkubæ</t>
  </si>
  <si>
    <t>Brekkubæjarskóli - tímab. ráðning stuðningsfulltrúa</t>
  </si>
  <si>
    <t>Grundaskóli - Bókun 1 í kjarasamningi kennara</t>
  </si>
  <si>
    <t>Bæjarráð tölul. 16</t>
  </si>
  <si>
    <t>Brekkubæjarskóli - bókun 1 í kjarasamningi kennara</t>
  </si>
  <si>
    <t>Bókun 1 í kjarasamningi kennara</t>
  </si>
  <si>
    <t>2050</t>
  </si>
  <si>
    <t>Beiðni forstöðumanns</t>
  </si>
  <si>
    <t>Búsetuþjónusta Holtsflöt - vörukaup</t>
  </si>
  <si>
    <t xml:space="preserve">Beiðni forstöðumanns </t>
  </si>
  <si>
    <t xml:space="preserve">Búsetuþj.Holtsflöt - flutt af 4980 samkv. Beiðni - tölvup. </t>
  </si>
  <si>
    <t>Búsetuþj.Holtsflöt -flutt á 2050 samkv. Beiðni - tölvup.</t>
  </si>
  <si>
    <t>Hver - leyfisgjöld</t>
  </si>
  <si>
    <t>Endurhæfingarhúsið "Hver" - þjónustu og orkukaup</t>
  </si>
  <si>
    <t>Endurhæfingarhúsið "Hver"  samtals</t>
  </si>
  <si>
    <t>4993</t>
  </si>
  <si>
    <t>Bókasafn v/Leyfissgjöld</t>
  </si>
  <si>
    <t>Héraðsskjalasafn - leyfisgjöld</t>
  </si>
  <si>
    <t>Sparkvellir - rafmagn</t>
  </si>
  <si>
    <t>06750</t>
  </si>
  <si>
    <t>Framlög til íþróttamála - innri leiga</t>
  </si>
  <si>
    <t>Slökkvistöð - leyfisgjöld</t>
  </si>
  <si>
    <t>Eignakaup/ niðurrif húsa v/rafmagn</t>
  </si>
  <si>
    <t>4811</t>
  </si>
  <si>
    <t>Tjaldsvæði og almenningssalerni -vatns- og fráveitugjöld</t>
  </si>
  <si>
    <t>Vitinn Breið - fargjöld og dvalarkostnaður</t>
  </si>
  <si>
    <t>Vitinn Breið - vatns- og fráveitugjöld</t>
  </si>
  <si>
    <t>Bæjarskrifst. - leyfisgjöld</t>
  </si>
  <si>
    <t>Bókasafn - leiga Bókasafn</t>
  </si>
  <si>
    <t>Þjónustumiðstöð og tjaldsvæði - önnur eignaleiga millif.</t>
  </si>
  <si>
    <t>Kirkjuhvoll - fasteignagjöld</t>
  </si>
  <si>
    <t>Akrasel - leiga Akrasel</t>
  </si>
  <si>
    <t>Tónlistarskóli - leiga Tónlistarskóli</t>
  </si>
  <si>
    <t>Íþróttamiðstöð - afskriftir véla og áhalda</t>
  </si>
  <si>
    <t>Íþróttamiðstöð - afskriftir</t>
  </si>
  <si>
    <t>Akraneshöll - leiga Akraneshöll</t>
  </si>
  <si>
    <t>Stillholt 16-18 - húsaleiga</t>
  </si>
  <si>
    <t>Stjórnsýsluhús - afskriftir fasteigna</t>
  </si>
  <si>
    <t>þjónustumiðstöð aldraðra - húsaleiga millifærð</t>
  </si>
  <si>
    <t>Þjónustumiðstöð aldraðra - arður af eignum</t>
  </si>
  <si>
    <t>Sparkvellir - afskrift fasteigna</t>
  </si>
  <si>
    <t>Sparkvellir - afskriftir</t>
  </si>
  <si>
    <t>Slökkvistöð - önnur eignaleiga millifærð</t>
  </si>
  <si>
    <t>Slökkvistöð - afskriftir véla og áhalda</t>
  </si>
  <si>
    <t>Slökkvistöð - afskrift</t>
  </si>
  <si>
    <t>Sambýli Vesturgötu - fasteignagjöld</t>
  </si>
  <si>
    <t>Sambýli Vesturgötu - vatns- og fráveitugjöld</t>
  </si>
  <si>
    <t>Faxabraut 3, afskrift</t>
  </si>
  <si>
    <t xml:space="preserve">Faxabraut 3 - afskrift </t>
  </si>
  <si>
    <t>Faxabraut 3, húsaleiga með vsk 24%</t>
  </si>
  <si>
    <t xml:space="preserve">Faxabraut 3 - arður af eignum </t>
  </si>
  <si>
    <t>Faxabraut 3 - samtals</t>
  </si>
  <si>
    <t xml:space="preserve">Faxabraut 3 - Þjónustu- og orkukaup </t>
  </si>
  <si>
    <t>Faxabraut 3, fasteignagjöld</t>
  </si>
  <si>
    <t>Byggðasafn - leyfisgjöld</t>
  </si>
  <si>
    <t>Vinátta í verki - söfnun fyrir Grænland</t>
  </si>
  <si>
    <t>HÁT-007</t>
  </si>
  <si>
    <t>Menningarnót í Reykjavík - heiðursgestur</t>
  </si>
  <si>
    <t>Menningarnótt - Akranes heiðursgestur</t>
  </si>
  <si>
    <t>10500</t>
  </si>
  <si>
    <t>Ferjusiglingar - vörukaup</t>
  </si>
  <si>
    <t>Skiptimiðar úr Ferju í strætó</t>
  </si>
  <si>
    <t>2650</t>
  </si>
  <si>
    <t>Stjórnsýsluhús - endurnýjun gólfefna í þingsal + fundarh.</t>
  </si>
  <si>
    <t>Stjórnsýsluhús - endurnýjun golfefna þingsal + fundarh.</t>
  </si>
  <si>
    <t>Gólfefni í þingsal og fundarherbergi</t>
  </si>
  <si>
    <t>2030</t>
  </si>
  <si>
    <t>Brekkubæjarskóli - námsgögn</t>
  </si>
  <si>
    <t>BR-RITFÖNG</t>
  </si>
  <si>
    <t>Grundaskóli - námsbækur</t>
  </si>
  <si>
    <t>Námsgögn í grunnskólum</t>
  </si>
  <si>
    <t>21530</t>
  </si>
  <si>
    <t>Vinabæjarmót flutt af 05890</t>
  </si>
  <si>
    <t>Vinabæjarsamskipti - framlög og styrkir</t>
  </si>
  <si>
    <t>Vinabæjarmót flutt á lið 21530</t>
  </si>
  <si>
    <t>Búsetuþj. Holtsflöt - sérfræðingur úttekt</t>
  </si>
  <si>
    <t>Holtsflöt sérfræðivinna úttekt</t>
  </si>
  <si>
    <t>Tillaga verkefnastjóra</t>
  </si>
  <si>
    <t>Tillaga sviðstjóra/verkefnast.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</si>
</sst>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0F]d\.\ mmmm\ yyyy"/>
    <numFmt numFmtId="182" formatCode="@*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"/>
  </numFmts>
  <fonts count="69">
    <font>
      <sz val="10"/>
      <name val="Arial"/>
      <family val="0"/>
    </font>
    <font>
      <b/>
      <sz val="10"/>
      <color indexed="8"/>
      <name val="Optima"/>
      <family val="2"/>
    </font>
    <font>
      <b/>
      <sz val="14"/>
      <name val="Optima"/>
      <family val="0"/>
    </font>
    <font>
      <b/>
      <sz val="10"/>
      <name val="Optima"/>
      <family val="2"/>
    </font>
    <font>
      <sz val="10"/>
      <color indexed="8"/>
      <name val="Optima"/>
      <family val="0"/>
    </font>
    <font>
      <b/>
      <sz val="10"/>
      <color indexed="12"/>
      <name val="Optima"/>
      <family val="0"/>
    </font>
    <font>
      <b/>
      <sz val="10"/>
      <color indexed="48"/>
      <name val="Optima"/>
      <family val="0"/>
    </font>
    <font>
      <b/>
      <sz val="10"/>
      <color indexed="18"/>
      <name val="Optima"/>
      <family val="2"/>
    </font>
    <font>
      <i/>
      <sz val="10"/>
      <color indexed="8"/>
      <name val="Optima"/>
      <family val="0"/>
    </font>
    <font>
      <b/>
      <sz val="12"/>
      <color indexed="8"/>
      <name val="Optima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 indent="1"/>
    </xf>
    <xf numFmtId="0" fontId="58" fillId="33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0" xfId="0" applyFill="1" applyBorder="1" applyAlignment="1">
      <alignment/>
    </xf>
    <xf numFmtId="182" fontId="0" fillId="0" borderId="0" xfId="0" applyNumberFormat="1" applyBorder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/>
    </xf>
    <xf numFmtId="0" fontId="6" fillId="0" borderId="0" xfId="0" applyFont="1" applyBorder="1" applyAlignment="1">
      <alignment horizontal="right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left" vertical="center" wrapText="1" indent="1"/>
    </xf>
    <xf numFmtId="182" fontId="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182" fontId="3" fillId="0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/>
    </xf>
    <xf numFmtId="182" fontId="58" fillId="0" borderId="0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 indent="1"/>
    </xf>
    <xf numFmtId="3" fontId="4" fillId="33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indent="1"/>
    </xf>
    <xf numFmtId="3" fontId="0" fillId="0" borderId="0" xfId="0" applyNumberFormat="1" applyFill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5" xfId="0" applyBorder="1" applyAlignment="1">
      <alignment/>
    </xf>
    <xf numFmtId="0" fontId="61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58" fillId="33" borderId="12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3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61" fillId="33" borderId="0" xfId="0" applyFont="1" applyFill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33" borderId="11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3" fontId="0" fillId="33" borderId="15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49" fontId="58" fillId="0" borderId="13" xfId="0" applyNumberFormat="1" applyFont="1" applyBorder="1" applyAlignment="1">
      <alignment horizontal="left"/>
    </xf>
    <xf numFmtId="3" fontId="0" fillId="33" borderId="17" xfId="0" applyNumberFormat="1" applyFill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3" fontId="0" fillId="33" borderId="12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58" fillId="0" borderId="0" xfId="0" applyFont="1" applyFill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3" fontId="4" fillId="33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3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9" fontId="58" fillId="0" borderId="13" xfId="0" applyNumberFormat="1" applyFont="1" applyBorder="1" applyAlignment="1">
      <alignment horizontal="left"/>
    </xf>
    <xf numFmtId="3" fontId="0" fillId="33" borderId="17" xfId="0" applyNumberFormat="1" applyFill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center"/>
    </xf>
    <xf numFmtId="0" fontId="0" fillId="33" borderId="15" xfId="0" applyFill="1" applyBorder="1" applyAlignment="1">
      <alignment/>
    </xf>
    <xf numFmtId="0" fontId="65" fillId="0" borderId="0" xfId="0" applyFont="1" applyAlignment="1">
      <alignment/>
    </xf>
    <xf numFmtId="3" fontId="0" fillId="33" borderId="12" xfId="0" applyNumberFormat="1" applyFill="1" applyBorder="1" applyAlignment="1">
      <alignment/>
    </xf>
    <xf numFmtId="0" fontId="64" fillId="0" borderId="0" xfId="0" applyFont="1" applyFill="1" applyAlignment="1">
      <alignment horizontal="left"/>
    </xf>
    <xf numFmtId="0" fontId="6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10" fontId="0" fillId="0" borderId="11" xfId="61" applyNumberFormat="1" applyFont="1" applyBorder="1" applyAlignment="1">
      <alignment horizontal="center"/>
    </xf>
    <xf numFmtId="10" fontId="0" fillId="0" borderId="17" xfId="0" applyNumberFormat="1" applyBorder="1" applyAlignment="1">
      <alignment/>
    </xf>
    <xf numFmtId="10" fontId="0" fillId="0" borderId="11" xfId="61" applyNumberFormat="1" applyFont="1" applyBorder="1" applyAlignment="1">
      <alignment horizontal="center"/>
    </xf>
    <xf numFmtId="0" fontId="58" fillId="6" borderId="0" xfId="0" applyFont="1" applyFill="1" applyAlignment="1">
      <alignment horizontal="center" wrapText="1"/>
    </xf>
    <xf numFmtId="0" fontId="1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/>
    </xf>
    <xf numFmtId="3" fontId="0" fillId="6" borderId="0" xfId="0" applyNumberFormat="1" applyFill="1" applyAlignment="1">
      <alignment/>
    </xf>
    <xf numFmtId="3" fontId="4" fillId="6" borderId="13" xfId="0" applyNumberFormat="1" applyFont="1" applyFill="1" applyBorder="1" applyAlignment="1">
      <alignment horizontal="right" vertical="center" wrapText="1"/>
    </xf>
    <xf numFmtId="3" fontId="4" fillId="6" borderId="21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4" fillId="35" borderId="0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80" fontId="41" fillId="0" borderId="12" xfId="57" applyNumberFormat="1" applyFill="1" applyBorder="1">
      <alignment/>
      <protection/>
    </xf>
    <xf numFmtId="49" fontId="41" fillId="0" borderId="12" xfId="57" applyNumberFormat="1" applyFill="1" applyBorder="1">
      <alignment/>
      <protection/>
    </xf>
    <xf numFmtId="0" fontId="41" fillId="0" borderId="12" xfId="57" applyFill="1" applyBorder="1">
      <alignment/>
      <protection/>
    </xf>
    <xf numFmtId="3" fontId="41" fillId="0" borderId="12" xfId="57" applyNumberFormat="1" applyFill="1" applyBorder="1">
      <alignment/>
      <protection/>
    </xf>
    <xf numFmtId="42" fontId="41" fillId="0" borderId="0" xfId="57" applyNumberFormat="1" applyFill="1" applyBorder="1">
      <alignment/>
      <protection/>
    </xf>
    <xf numFmtId="0" fontId="0" fillId="0" borderId="0" xfId="0" applyFill="1" applyBorder="1" applyAlignment="1">
      <alignment/>
    </xf>
    <xf numFmtId="180" fontId="41" fillId="0" borderId="0" xfId="57" applyNumberFormat="1" applyFill="1" applyBorder="1">
      <alignment/>
      <protection/>
    </xf>
    <xf numFmtId="49" fontId="41" fillId="0" borderId="0" xfId="57" applyNumberFormat="1" applyFill="1" applyBorder="1">
      <alignment/>
      <protection/>
    </xf>
    <xf numFmtId="0" fontId="41" fillId="0" borderId="0" xfId="57" applyFill="1" applyBorder="1">
      <alignment/>
      <protection/>
    </xf>
    <xf numFmtId="3" fontId="41" fillId="0" borderId="0" xfId="57" applyNumberFormat="1" applyFill="1" applyBorder="1">
      <alignment/>
      <protection/>
    </xf>
    <xf numFmtId="0" fontId="0" fillId="0" borderId="0" xfId="0" applyFont="1" applyFill="1" applyBorder="1" applyAlignment="1">
      <alignment/>
    </xf>
    <xf numFmtId="42" fontId="41" fillId="0" borderId="0" xfId="57" applyNumberFormat="1" applyFill="1">
      <alignment/>
      <protection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180" fontId="41" fillId="0" borderId="12" xfId="57" applyNumberFormat="1" applyFont="1" applyFill="1" applyBorder="1">
      <alignment/>
      <protection/>
    </xf>
    <xf numFmtId="49" fontId="41" fillId="0" borderId="12" xfId="57" applyNumberFormat="1" applyFont="1" applyFill="1" applyBorder="1">
      <alignment/>
      <protection/>
    </xf>
    <xf numFmtId="0" fontId="41" fillId="0" borderId="12" xfId="57" applyFont="1" applyFill="1" applyBorder="1">
      <alignment/>
      <protection/>
    </xf>
    <xf numFmtId="0" fontId="58" fillId="0" borderId="12" xfId="57" applyFont="1" applyFill="1" applyBorder="1" applyAlignment="1">
      <alignment horizontal="right"/>
      <protection/>
    </xf>
    <xf numFmtId="3" fontId="41" fillId="0" borderId="12" xfId="57" applyNumberFormat="1" applyFont="1" applyFill="1" applyBorder="1">
      <alignment/>
      <protection/>
    </xf>
    <xf numFmtId="42" fontId="41" fillId="0" borderId="0" xfId="57" applyNumberFormat="1" applyFont="1" applyFill="1">
      <alignment/>
      <protection/>
    </xf>
    <xf numFmtId="180" fontId="41" fillId="0" borderId="0" xfId="57" applyNumberFormat="1" applyFont="1" applyFill="1">
      <alignment/>
      <protection/>
    </xf>
    <xf numFmtId="49" fontId="41" fillId="0" borderId="0" xfId="57" applyNumberFormat="1" applyFont="1" applyFill="1">
      <alignment/>
      <protection/>
    </xf>
    <xf numFmtId="0" fontId="41" fillId="0" borderId="0" xfId="57" applyFont="1" applyFill="1">
      <alignment/>
      <protection/>
    </xf>
    <xf numFmtId="3" fontId="41" fillId="0" borderId="0" xfId="57" applyNumberFormat="1" applyFont="1" applyFill="1">
      <alignment/>
      <protection/>
    </xf>
    <xf numFmtId="0" fontId="41" fillId="0" borderId="12" xfId="57" applyFont="1" applyFill="1" applyBorder="1" applyAlignment="1">
      <alignment horizontal="left"/>
      <protection/>
    </xf>
    <xf numFmtId="0" fontId="41" fillId="0" borderId="0" xfId="57" applyFont="1" applyFill="1" applyBorder="1">
      <alignment/>
      <protection/>
    </xf>
    <xf numFmtId="14" fontId="41" fillId="0" borderId="12" xfId="57" applyNumberFormat="1" applyFont="1" applyFill="1" applyBorder="1">
      <alignment/>
      <protection/>
    </xf>
    <xf numFmtId="0" fontId="58" fillId="0" borderId="0" xfId="57" applyFont="1" applyFill="1" applyAlignment="1">
      <alignment horizontal="right"/>
      <protection/>
    </xf>
    <xf numFmtId="49" fontId="41" fillId="0" borderId="12" xfId="57" applyNumberFormat="1" applyFont="1" applyFill="1" applyBorder="1" applyAlignment="1">
      <alignment horizontal="left"/>
      <protection/>
    </xf>
    <xf numFmtId="0" fontId="66" fillId="0" borderId="0" xfId="0" applyFont="1" applyAlignment="1">
      <alignment/>
    </xf>
    <xf numFmtId="3" fontId="0" fillId="0" borderId="15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8" fillId="0" borderId="0" xfId="57" applyFont="1" applyFill="1" applyBorder="1" applyAlignment="1">
      <alignment horizontal="right"/>
      <protection/>
    </xf>
    <xf numFmtId="0" fontId="41" fillId="35" borderId="12" xfId="57" applyFill="1" applyBorder="1">
      <alignment/>
      <protection/>
    </xf>
    <xf numFmtId="0" fontId="41" fillId="35" borderId="0" xfId="57" applyFill="1" applyBorder="1">
      <alignment/>
      <protection/>
    </xf>
    <xf numFmtId="49" fontId="41" fillId="35" borderId="0" xfId="57" applyNumberFormat="1" applyFill="1" applyBorder="1">
      <alignment/>
      <protection/>
    </xf>
    <xf numFmtId="49" fontId="41" fillId="35" borderId="12" xfId="57" applyNumberFormat="1" applyFill="1" applyBorder="1">
      <alignment/>
      <protection/>
    </xf>
    <xf numFmtId="3" fontId="41" fillId="35" borderId="12" xfId="57" applyNumberFormat="1" applyFill="1" applyBorder="1">
      <alignment/>
      <protection/>
    </xf>
    <xf numFmtId="0" fontId="58" fillId="35" borderId="0" xfId="57" applyFont="1" applyFill="1" applyBorder="1" applyAlignment="1">
      <alignment horizontal="right"/>
      <protection/>
    </xf>
    <xf numFmtId="3" fontId="41" fillId="35" borderId="0" xfId="57" applyNumberFormat="1" applyFill="1" applyBorder="1">
      <alignment/>
      <protection/>
    </xf>
    <xf numFmtId="3" fontId="58" fillId="35" borderId="0" xfId="57" applyNumberFormat="1" applyFont="1" applyFill="1" applyBorder="1">
      <alignment/>
      <protection/>
    </xf>
    <xf numFmtId="42" fontId="41" fillId="35" borderId="0" xfId="57" applyNumberFormat="1" applyFill="1" applyBorder="1">
      <alignment/>
      <protection/>
    </xf>
    <xf numFmtId="0" fontId="67" fillId="35" borderId="0" xfId="57" applyFont="1" applyFill="1">
      <alignment/>
      <protection/>
    </xf>
    <xf numFmtId="180" fontId="41" fillId="35" borderId="12" xfId="57" applyNumberFormat="1" applyFont="1" applyFill="1" applyBorder="1">
      <alignment/>
      <protection/>
    </xf>
    <xf numFmtId="49" fontId="41" fillId="35" borderId="12" xfId="57" applyNumberFormat="1" applyFont="1" applyFill="1" applyBorder="1">
      <alignment/>
      <protection/>
    </xf>
    <xf numFmtId="0" fontId="41" fillId="35" borderId="12" xfId="57" applyFont="1" applyFill="1" applyBorder="1" applyAlignment="1">
      <alignment horizontal="left"/>
      <protection/>
    </xf>
    <xf numFmtId="0" fontId="41" fillId="35" borderId="12" xfId="57" applyFont="1" applyFill="1" applyBorder="1">
      <alignment/>
      <protection/>
    </xf>
    <xf numFmtId="0" fontId="41" fillId="35" borderId="0" xfId="57" applyFont="1" applyFill="1" applyBorder="1">
      <alignment/>
      <protection/>
    </xf>
    <xf numFmtId="180" fontId="41" fillId="35" borderId="0" xfId="57" applyNumberFormat="1" applyFont="1" applyFill="1">
      <alignment/>
      <protection/>
    </xf>
    <xf numFmtId="49" fontId="41" fillId="35" borderId="0" xfId="57" applyNumberFormat="1" applyFont="1" applyFill="1" applyBorder="1">
      <alignment/>
      <protection/>
    </xf>
    <xf numFmtId="0" fontId="41" fillId="35" borderId="0" xfId="57" applyFont="1" applyFill="1" applyBorder="1" applyAlignment="1">
      <alignment horizontal="left"/>
      <protection/>
    </xf>
    <xf numFmtId="49" fontId="41" fillId="35" borderId="12" xfId="57" applyNumberFormat="1" applyFont="1" applyFill="1" applyBorder="1" applyAlignment="1">
      <alignment horizontal="left"/>
      <protection/>
    </xf>
    <xf numFmtId="49" fontId="41" fillId="35" borderId="0" xfId="57" applyNumberFormat="1" applyFont="1" applyFill="1" applyBorder="1" applyAlignment="1">
      <alignment horizontal="left"/>
      <protection/>
    </xf>
    <xf numFmtId="0" fontId="58" fillId="35" borderId="12" xfId="57" applyFont="1" applyFill="1" applyBorder="1" applyAlignment="1">
      <alignment horizontal="right"/>
      <protection/>
    </xf>
    <xf numFmtId="14" fontId="41" fillId="35" borderId="0" xfId="57" applyNumberFormat="1" applyFont="1" applyFill="1">
      <alignment/>
      <protection/>
    </xf>
    <xf numFmtId="3" fontId="41" fillId="35" borderId="0" xfId="57" applyNumberFormat="1" applyFill="1">
      <alignment/>
      <protection/>
    </xf>
    <xf numFmtId="180" fontId="41" fillId="35" borderId="0" xfId="57" applyNumberFormat="1" applyFont="1" applyFill="1" applyBorder="1">
      <alignment/>
      <protection/>
    </xf>
    <xf numFmtId="0" fontId="41" fillId="35" borderId="0" xfId="57" applyFont="1" applyFill="1">
      <alignment/>
      <protection/>
    </xf>
    <xf numFmtId="14" fontId="41" fillId="35" borderId="0" xfId="57" applyNumberFormat="1" applyFont="1" applyFill="1" applyBorder="1">
      <alignment/>
      <protection/>
    </xf>
    <xf numFmtId="14" fontId="41" fillId="35" borderId="12" xfId="57" applyNumberFormat="1" applyFont="1" applyFill="1" applyBorder="1">
      <alignment/>
      <protection/>
    </xf>
    <xf numFmtId="187" fontId="41" fillId="35" borderId="12" xfId="57" applyNumberFormat="1" applyFont="1" applyFill="1" applyBorder="1" applyAlignment="1">
      <alignment horizontal="left"/>
      <protection/>
    </xf>
    <xf numFmtId="42" fontId="41" fillId="35" borderId="0" xfId="57" applyNumberFormat="1" applyFont="1" applyFill="1">
      <alignment/>
      <protection/>
    </xf>
    <xf numFmtId="180" fontId="41" fillId="35" borderId="0" xfId="57" applyNumberFormat="1" applyFill="1" applyBorder="1">
      <alignment/>
      <protection/>
    </xf>
    <xf numFmtId="0" fontId="41" fillId="35" borderId="0" xfId="57" applyFill="1" applyBorder="1" applyAlignment="1">
      <alignment horizontal="left"/>
      <protection/>
    </xf>
    <xf numFmtId="42" fontId="41" fillId="35" borderId="0" xfId="57" applyNumberFormat="1" applyFill="1">
      <alignment/>
      <protection/>
    </xf>
    <xf numFmtId="180" fontId="41" fillId="35" borderId="12" xfId="57" applyNumberFormat="1" applyFill="1" applyBorder="1">
      <alignment/>
      <protection/>
    </xf>
    <xf numFmtId="0" fontId="41" fillId="35" borderId="12" xfId="57" applyFill="1" applyBorder="1" applyAlignment="1">
      <alignment horizontal="left"/>
      <protection/>
    </xf>
    <xf numFmtId="0" fontId="41" fillId="35" borderId="0" xfId="57" applyFill="1">
      <alignment/>
      <protection/>
    </xf>
    <xf numFmtId="3" fontId="41" fillId="35" borderId="0" xfId="57" applyNumberFormat="1" applyFont="1" applyFill="1">
      <alignment/>
      <protection/>
    </xf>
    <xf numFmtId="0" fontId="0" fillId="35" borderId="0" xfId="0" applyFont="1" applyFill="1" applyAlignment="1">
      <alignment/>
    </xf>
    <xf numFmtId="3" fontId="41" fillId="35" borderId="12" xfId="57" applyNumberFormat="1" applyFont="1" applyFill="1" applyBorder="1">
      <alignment/>
      <protection/>
    </xf>
    <xf numFmtId="49" fontId="41" fillId="35" borderId="0" xfId="57" applyNumberFormat="1" applyFont="1" applyFill="1">
      <alignment/>
      <protection/>
    </xf>
    <xf numFmtId="0" fontId="41" fillId="35" borderId="0" xfId="57" applyFont="1" applyFill="1" applyAlignment="1">
      <alignment horizontal="left"/>
      <protection/>
    </xf>
    <xf numFmtId="0" fontId="58" fillId="35" borderId="0" xfId="57" applyFont="1" applyFill="1" applyAlignment="1">
      <alignment horizontal="right"/>
      <protection/>
    </xf>
    <xf numFmtId="180" fontId="41" fillId="35" borderId="0" xfId="57" applyNumberFormat="1" applyFill="1">
      <alignment/>
      <protection/>
    </xf>
    <xf numFmtId="49" fontId="41" fillId="35" borderId="0" xfId="57" applyNumberFormat="1" applyFill="1">
      <alignment/>
      <protection/>
    </xf>
    <xf numFmtId="3" fontId="41" fillId="35" borderId="0" xfId="57" applyNumberFormat="1" applyFont="1" applyFill="1" applyBorder="1">
      <alignment/>
      <protection/>
    </xf>
    <xf numFmtId="49" fontId="41" fillId="35" borderId="0" xfId="57" applyNumberFormat="1" applyFont="1" applyFill="1" applyAlignment="1">
      <alignment horizontal="left"/>
      <protection/>
    </xf>
    <xf numFmtId="0" fontId="0" fillId="35" borderId="0" xfId="0" applyFill="1" applyBorder="1" applyAlignment="1">
      <alignment/>
    </xf>
    <xf numFmtId="0" fontId="58" fillId="35" borderId="0" xfId="57" applyFont="1" applyFill="1" applyBorder="1" applyAlignment="1">
      <alignment horizontal="right"/>
      <protection/>
    </xf>
    <xf numFmtId="180" fontId="67" fillId="35" borderId="0" xfId="57" applyNumberFormat="1" applyFont="1" applyFill="1">
      <alignment/>
      <protection/>
    </xf>
    <xf numFmtId="0" fontId="58" fillId="35" borderId="0" xfId="57" applyFont="1" applyFill="1" applyBorder="1" applyAlignment="1">
      <alignment/>
      <protection/>
    </xf>
    <xf numFmtId="180" fontId="67" fillId="35" borderId="0" xfId="57" applyNumberFormat="1" applyFont="1" applyFill="1" applyBorder="1">
      <alignment/>
      <protection/>
    </xf>
    <xf numFmtId="0" fontId="41" fillId="35" borderId="0" xfId="57" applyFont="1" applyFill="1" applyBorder="1" applyAlignment="1">
      <alignment horizontal="right"/>
      <protection/>
    </xf>
    <xf numFmtId="42" fontId="41" fillId="35" borderId="0" xfId="57" applyNumberFormat="1" applyFont="1" applyFill="1" applyBorder="1">
      <alignment/>
      <protection/>
    </xf>
    <xf numFmtId="3" fontId="58" fillId="35" borderId="0" xfId="57" applyNumberFormat="1" applyFont="1" applyFill="1">
      <alignment/>
      <protection/>
    </xf>
    <xf numFmtId="0" fontId="41" fillId="35" borderId="12" xfId="57" applyFont="1" applyFill="1" applyBorder="1" applyAlignment="1">
      <alignment horizontal="right"/>
      <protection/>
    </xf>
    <xf numFmtId="0" fontId="0" fillId="35" borderId="0" xfId="0" applyFont="1" applyFill="1" applyBorder="1" applyAlignment="1">
      <alignment/>
    </xf>
    <xf numFmtId="0" fontId="41" fillId="35" borderId="0" xfId="57" applyFill="1" applyBorder="1" applyAlignment="1">
      <alignment horizontal="right"/>
      <protection/>
    </xf>
    <xf numFmtId="3" fontId="58" fillId="35" borderId="12" xfId="57" applyNumberFormat="1" applyFont="1" applyFill="1" applyBorder="1">
      <alignment/>
      <protection/>
    </xf>
    <xf numFmtId="0" fontId="58" fillId="35" borderId="0" xfId="57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80" fontId="41" fillId="0" borderId="0" xfId="57" applyNumberFormat="1" applyFont="1" applyFill="1" applyBorder="1">
      <alignment/>
      <protection/>
    </xf>
    <xf numFmtId="49" fontId="41" fillId="0" borderId="0" xfId="57" applyNumberFormat="1" applyFont="1" applyFill="1" applyBorder="1">
      <alignment/>
      <protection/>
    </xf>
    <xf numFmtId="3" fontId="41" fillId="0" borderId="0" xfId="57" applyNumberFormat="1" applyFont="1" applyFill="1" applyBorder="1">
      <alignment/>
      <protection/>
    </xf>
    <xf numFmtId="42" fontId="41" fillId="0" borderId="0" xfId="57" applyNumberFormat="1" applyFont="1" applyFill="1" applyBorder="1">
      <alignment/>
      <protection/>
    </xf>
    <xf numFmtId="14" fontId="41" fillId="0" borderId="0" xfId="57" applyNumberFormat="1" applyFont="1" applyFill="1">
      <alignment/>
      <protection/>
    </xf>
    <xf numFmtId="180" fontId="41" fillId="0" borderId="0" xfId="57" applyNumberFormat="1" applyFill="1">
      <alignment/>
      <protection/>
    </xf>
    <xf numFmtId="49" fontId="41" fillId="0" borderId="0" xfId="57" applyNumberFormat="1" applyFill="1">
      <alignment/>
      <protection/>
    </xf>
    <xf numFmtId="0" fontId="41" fillId="0" borderId="0" xfId="57" applyFill="1">
      <alignment/>
      <protection/>
    </xf>
    <xf numFmtId="3" fontId="41" fillId="0" borderId="0" xfId="57" applyNumberFormat="1" applyFill="1">
      <alignment/>
      <protection/>
    </xf>
    <xf numFmtId="0" fontId="41" fillId="0" borderId="0" xfId="57" applyFont="1" applyFill="1" applyBorder="1" applyAlignment="1">
      <alignment horizontal="left"/>
      <protection/>
    </xf>
    <xf numFmtId="49" fontId="41" fillId="0" borderId="0" xfId="57" applyNumberFormat="1" applyFont="1" applyFill="1" applyBorder="1" applyAlignment="1">
      <alignment horizontal="left"/>
      <protection/>
    </xf>
    <xf numFmtId="0" fontId="67" fillId="0" borderId="0" xfId="57" applyFont="1" applyFill="1">
      <alignment/>
      <protection/>
    </xf>
    <xf numFmtId="0" fontId="41" fillId="0" borderId="0" xfId="57" applyFont="1" applyFill="1" applyAlignment="1">
      <alignment horizontal="left"/>
      <protection/>
    </xf>
    <xf numFmtId="49" fontId="41" fillId="0" borderId="0" xfId="57" applyNumberFormat="1" applyFont="1" applyFill="1" applyAlignment="1">
      <alignment horizontal="left"/>
      <protection/>
    </xf>
    <xf numFmtId="49" fontId="41" fillId="36" borderId="12" xfId="57" applyNumberFormat="1" applyFont="1" applyFill="1" applyBorder="1">
      <alignment/>
      <protection/>
    </xf>
    <xf numFmtId="0" fontId="58" fillId="35" borderId="0" xfId="57" applyFont="1" applyFill="1" applyBorder="1" applyAlignment="1">
      <alignment horizontal="right"/>
      <protection/>
    </xf>
    <xf numFmtId="3" fontId="58" fillId="0" borderId="0" xfId="57" applyNumberFormat="1" applyFont="1" applyFill="1" applyBorder="1">
      <alignment/>
      <protection/>
    </xf>
    <xf numFmtId="3" fontId="58" fillId="0" borderId="0" xfId="57" applyNumberFormat="1" applyFont="1" applyFill="1">
      <alignment/>
      <protection/>
    </xf>
    <xf numFmtId="0" fontId="0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58" fillId="35" borderId="0" xfId="57" applyFont="1" applyFill="1" applyBorder="1" applyAlignment="1">
      <alignment horizontal="right"/>
      <protection/>
    </xf>
    <xf numFmtId="0" fontId="67" fillId="0" borderId="0" xfId="57" applyFont="1" applyFill="1" applyBorder="1">
      <alignment/>
      <protection/>
    </xf>
    <xf numFmtId="14" fontId="41" fillId="0" borderId="12" xfId="57" applyNumberFormat="1" applyFill="1" applyBorder="1">
      <alignment/>
      <protection/>
    </xf>
    <xf numFmtId="14" fontId="41" fillId="0" borderId="0" xfId="57" applyNumberFormat="1" applyFont="1" applyFill="1" applyBorder="1">
      <alignment/>
      <protection/>
    </xf>
    <xf numFmtId="0" fontId="41" fillId="0" borderId="0" xfId="57" applyFill="1" applyBorder="1" applyAlignment="1">
      <alignment horizontal="left"/>
      <protection/>
    </xf>
    <xf numFmtId="49" fontId="58" fillId="0" borderId="0" xfId="57" applyNumberFormat="1" applyFont="1" applyFill="1" applyBorder="1" applyAlignment="1">
      <alignment horizontal="right"/>
      <protection/>
    </xf>
    <xf numFmtId="3" fontId="67" fillId="0" borderId="0" xfId="57" applyNumberFormat="1" applyFont="1" applyFill="1">
      <alignment/>
      <protection/>
    </xf>
    <xf numFmtId="0" fontId="58" fillId="0" borderId="0" xfId="57" applyFont="1" applyFill="1" applyBorder="1" applyAlignment="1">
      <alignment horizontal="right"/>
      <protection/>
    </xf>
    <xf numFmtId="180" fontId="67" fillId="0" borderId="0" xfId="57" applyNumberFormat="1" applyFont="1" applyFill="1">
      <alignment/>
      <protection/>
    </xf>
    <xf numFmtId="180" fontId="67" fillId="0" borderId="0" xfId="57" applyNumberFormat="1" applyFont="1" applyFill="1" applyBorder="1">
      <alignment/>
      <protection/>
    </xf>
    <xf numFmtId="180" fontId="58" fillId="0" borderId="0" xfId="57" applyNumberFormat="1" applyFont="1" applyFill="1" applyBorder="1">
      <alignment/>
      <protection/>
    </xf>
    <xf numFmtId="0" fontId="67" fillId="0" borderId="24" xfId="57" applyFont="1" applyFill="1" applyBorder="1">
      <alignment/>
      <protection/>
    </xf>
    <xf numFmtId="0" fontId="41" fillId="0" borderId="25" xfId="57" applyFill="1" applyBorder="1">
      <alignment/>
      <protection/>
    </xf>
    <xf numFmtId="3" fontId="41" fillId="0" borderId="26" xfId="57" applyNumberFormat="1" applyFill="1" applyBorder="1">
      <alignment/>
      <protection/>
    </xf>
    <xf numFmtId="0" fontId="67" fillId="0" borderId="27" xfId="57" applyFont="1" applyFill="1" applyBorder="1">
      <alignment/>
      <protection/>
    </xf>
    <xf numFmtId="3" fontId="41" fillId="0" borderId="28" xfId="57" applyNumberFormat="1" applyFill="1" applyBorder="1">
      <alignment/>
      <protection/>
    </xf>
    <xf numFmtId="0" fontId="41" fillId="0" borderId="27" xfId="57" applyFill="1" applyBorder="1">
      <alignment/>
      <protection/>
    </xf>
    <xf numFmtId="3" fontId="0" fillId="0" borderId="0" xfId="0" applyNumberFormat="1" applyFont="1" applyFill="1" applyAlignment="1">
      <alignment/>
    </xf>
    <xf numFmtId="42" fontId="58" fillId="0" borderId="0" xfId="57" applyNumberFormat="1" applyFont="1" applyFill="1" applyBorder="1">
      <alignment/>
      <protection/>
    </xf>
    <xf numFmtId="0" fontId="58" fillId="0" borderId="12" xfId="57" applyFont="1" applyFill="1" applyBorder="1">
      <alignment/>
      <protection/>
    </xf>
    <xf numFmtId="3" fontId="58" fillId="0" borderId="29" xfId="57" applyNumberFormat="1" applyFont="1" applyFill="1" applyBorder="1">
      <alignment/>
      <protection/>
    </xf>
    <xf numFmtId="3" fontId="10" fillId="0" borderId="0" xfId="0" applyNumberFormat="1" applyFont="1" applyFill="1" applyAlignment="1">
      <alignment/>
    </xf>
    <xf numFmtId="0" fontId="67" fillId="0" borderId="30" xfId="57" applyFont="1" applyFill="1" applyBorder="1">
      <alignment/>
      <protection/>
    </xf>
    <xf numFmtId="3" fontId="40" fillId="0" borderId="0" xfId="0" applyNumberFormat="1" applyFont="1" applyFill="1" applyAlignment="1">
      <alignment/>
    </xf>
    <xf numFmtId="0" fontId="41" fillId="0" borderId="31" xfId="57" applyFill="1" applyBorder="1">
      <alignment/>
      <protection/>
    </xf>
    <xf numFmtId="0" fontId="41" fillId="0" borderId="32" xfId="57" applyFill="1" applyBorder="1">
      <alignment/>
      <protection/>
    </xf>
    <xf numFmtId="3" fontId="41" fillId="0" borderId="33" xfId="57" applyNumberFormat="1" applyFill="1" applyBorder="1">
      <alignment/>
      <protection/>
    </xf>
    <xf numFmtId="0" fontId="0" fillId="0" borderId="0" xfId="0" applyFill="1" applyAlignment="1">
      <alignment vertical="top"/>
    </xf>
    <xf numFmtId="187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/>
    </xf>
    <xf numFmtId="0" fontId="58" fillId="0" borderId="0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4"/>
  <sheetViews>
    <sheetView workbookViewId="0" topLeftCell="A1">
      <selection activeCell="N78" sqref="N78"/>
    </sheetView>
  </sheetViews>
  <sheetFormatPr defaultColWidth="9.140625" defaultRowHeight="12.75" outlineLevelRow="1"/>
  <cols>
    <col min="1" max="1" width="10.140625" style="163" bestFit="1" customWidth="1"/>
    <col min="2" max="2" width="6.140625" style="163" bestFit="1" customWidth="1"/>
    <col min="3" max="3" width="5.00390625" style="163" bestFit="1" customWidth="1"/>
    <col min="4" max="6" width="9.140625" style="163" customWidth="1"/>
    <col min="7" max="7" width="28.140625" style="163" customWidth="1"/>
    <col min="8" max="8" width="14.00390625" style="163" customWidth="1"/>
    <col min="9" max="9" width="13.421875" style="163" customWidth="1"/>
    <col min="10" max="10" width="10.140625" style="163" bestFit="1" customWidth="1"/>
    <col min="11" max="11" width="9.140625" style="163" customWidth="1"/>
    <col min="12" max="12" width="5.28125" style="163" customWidth="1"/>
    <col min="13" max="13" width="11.8515625" style="163" bestFit="1" customWidth="1"/>
    <col min="14" max="14" width="12.00390625" style="163" customWidth="1"/>
    <col min="15" max="15" width="11.140625" style="163" bestFit="1" customWidth="1"/>
    <col min="16" max="16" width="10.7109375" style="163" bestFit="1" customWidth="1"/>
    <col min="17" max="19" width="9.140625" style="163" customWidth="1"/>
    <col min="20" max="20" width="13.421875" style="163" bestFit="1" customWidth="1"/>
    <col min="21" max="16384" width="9.140625" style="163" customWidth="1"/>
  </cols>
  <sheetData>
    <row r="1" spans="1:11" s="1" customFormat="1" ht="15">
      <c r="A1" s="170" t="s">
        <v>49</v>
      </c>
      <c r="B1" s="170" t="s">
        <v>50</v>
      </c>
      <c r="C1" s="170" t="s">
        <v>51</v>
      </c>
      <c r="D1" s="170" t="s">
        <v>52</v>
      </c>
      <c r="E1" s="170"/>
      <c r="F1" s="170"/>
      <c r="G1" s="170"/>
      <c r="H1" s="170" t="s">
        <v>53</v>
      </c>
      <c r="I1" s="170" t="s">
        <v>448</v>
      </c>
      <c r="J1" s="126" t="s">
        <v>449</v>
      </c>
      <c r="K1" s="126"/>
    </row>
    <row r="2" spans="1:9" s="1" customFormat="1" ht="15">
      <c r="A2" s="176"/>
      <c r="B2" s="176"/>
      <c r="C2" s="176"/>
      <c r="D2" s="176"/>
      <c r="E2" s="176"/>
      <c r="F2" s="176"/>
      <c r="G2" s="176"/>
      <c r="H2" s="176"/>
      <c r="I2" s="176"/>
    </row>
    <row r="3" spans="1:9" s="1" customFormat="1" ht="15">
      <c r="A3" s="282" t="s">
        <v>434</v>
      </c>
      <c r="B3" s="175"/>
      <c r="C3" s="175"/>
      <c r="D3" s="176"/>
      <c r="E3" s="176"/>
      <c r="F3" s="176"/>
      <c r="G3" s="176"/>
      <c r="H3" s="176"/>
      <c r="I3" s="176"/>
    </row>
    <row r="4" spans="1:10" s="1" customFormat="1" ht="15">
      <c r="A4" s="283">
        <v>42370</v>
      </c>
      <c r="B4" s="169" t="s">
        <v>763</v>
      </c>
      <c r="C4" s="169" t="s">
        <v>764</v>
      </c>
      <c r="D4" s="170" t="s">
        <v>1187</v>
      </c>
      <c r="E4" s="170"/>
      <c r="F4" s="170"/>
      <c r="G4" s="170"/>
      <c r="H4" s="171">
        <v>0</v>
      </c>
      <c r="I4" s="176"/>
      <c r="J4" s="2" t="s">
        <v>1188</v>
      </c>
    </row>
    <row r="5" spans="1:9" s="1" customFormat="1" ht="15" hidden="1" outlineLevel="1">
      <c r="A5" s="176"/>
      <c r="B5" s="175"/>
      <c r="C5" s="175"/>
      <c r="D5" s="176"/>
      <c r="E5" s="176"/>
      <c r="F5" s="176"/>
      <c r="G5" s="201" t="s">
        <v>765</v>
      </c>
      <c r="H5" s="177">
        <f>SUM(H4)</f>
        <v>0</v>
      </c>
      <c r="I5" s="176"/>
    </row>
    <row r="6" spans="1:9" s="1" customFormat="1" ht="15" hidden="1" outlineLevel="1">
      <c r="A6" s="176"/>
      <c r="B6" s="175"/>
      <c r="C6" s="175"/>
      <c r="D6" s="176"/>
      <c r="E6" s="176"/>
      <c r="F6" s="176"/>
      <c r="G6" s="176"/>
      <c r="H6" s="177"/>
      <c r="I6" s="176"/>
    </row>
    <row r="7" spans="1:9" s="1" customFormat="1" ht="15" hidden="1" outlineLevel="1">
      <c r="A7" s="176"/>
      <c r="B7" s="175"/>
      <c r="C7" s="175"/>
      <c r="D7" s="176"/>
      <c r="E7" s="176"/>
      <c r="F7" s="176"/>
      <c r="G7" s="201" t="s">
        <v>766</v>
      </c>
      <c r="H7" s="177">
        <f>H5</f>
        <v>0</v>
      </c>
      <c r="I7" s="176"/>
    </row>
    <row r="8" spans="1:9" s="1" customFormat="1" ht="15" hidden="1" outlineLevel="1">
      <c r="A8" s="282"/>
      <c r="B8" s="175"/>
      <c r="C8" s="175"/>
      <c r="D8" s="176"/>
      <c r="E8" s="176"/>
      <c r="F8" s="176"/>
      <c r="G8" s="176"/>
      <c r="H8" s="176"/>
      <c r="I8" s="176"/>
    </row>
    <row r="9" spans="1:10" s="1" customFormat="1" ht="15" hidden="1" outlineLevel="1">
      <c r="A9" s="283">
        <v>42155</v>
      </c>
      <c r="B9" s="169" t="s">
        <v>431</v>
      </c>
      <c r="C9" s="169" t="s">
        <v>430</v>
      </c>
      <c r="D9" s="170" t="s">
        <v>432</v>
      </c>
      <c r="E9" s="170"/>
      <c r="F9" s="170"/>
      <c r="G9" s="170"/>
      <c r="H9" s="171">
        <v>0</v>
      </c>
      <c r="I9" s="176"/>
      <c r="J9" s="2" t="s">
        <v>433</v>
      </c>
    </row>
    <row r="10" spans="1:9" s="1" customFormat="1" ht="15" hidden="1" outlineLevel="1">
      <c r="A10" s="176"/>
      <c r="B10" s="175"/>
      <c r="C10" s="175"/>
      <c r="D10" s="176"/>
      <c r="E10" s="176"/>
      <c r="F10" s="176"/>
      <c r="G10" s="201" t="s">
        <v>664</v>
      </c>
      <c r="H10" s="177">
        <f>SUM(H9)</f>
        <v>0</v>
      </c>
      <c r="I10" s="176"/>
    </row>
    <row r="11" spans="1:9" s="1" customFormat="1" ht="15" hidden="1" outlineLevel="1">
      <c r="A11" s="176"/>
      <c r="B11" s="175"/>
      <c r="C11" s="175"/>
      <c r="D11" s="176"/>
      <c r="E11" s="176"/>
      <c r="F11" s="176"/>
      <c r="G11" s="176"/>
      <c r="H11" s="177"/>
      <c r="I11" s="176"/>
    </row>
    <row r="12" spans="1:9" s="1" customFormat="1" ht="15" hidden="1" outlineLevel="1">
      <c r="A12" s="176"/>
      <c r="B12" s="175"/>
      <c r="C12" s="175"/>
      <c r="D12" s="176"/>
      <c r="E12" s="176"/>
      <c r="F12" s="176"/>
      <c r="G12" s="201" t="s">
        <v>665</v>
      </c>
      <c r="H12" s="177">
        <f>H10</f>
        <v>0</v>
      </c>
      <c r="I12" s="176"/>
    </row>
    <row r="13" spans="1:9" s="1" customFormat="1" ht="15" hidden="1" outlineLevel="1">
      <c r="A13" s="176"/>
      <c r="B13" s="175"/>
      <c r="C13" s="175"/>
      <c r="D13" s="176"/>
      <c r="E13" s="176"/>
      <c r="F13" s="176"/>
      <c r="G13" s="201"/>
      <c r="H13" s="177"/>
      <c r="I13" s="176"/>
    </row>
    <row r="14" spans="1:9" s="1" customFormat="1" ht="15" hidden="1" outlineLevel="1">
      <c r="A14" s="176"/>
      <c r="B14" s="175"/>
      <c r="C14" s="175"/>
      <c r="D14" s="176"/>
      <c r="E14" s="176"/>
      <c r="F14" s="176"/>
      <c r="G14" s="201" t="s">
        <v>820</v>
      </c>
      <c r="H14" s="177">
        <f>H7+H12</f>
        <v>0</v>
      </c>
      <c r="I14" s="176"/>
    </row>
    <row r="15" spans="1:9" s="1" customFormat="1" ht="15" hidden="1" outlineLevel="1" collapsed="1">
      <c r="A15" s="176"/>
      <c r="B15" s="175"/>
      <c r="C15" s="175"/>
      <c r="D15" s="176"/>
      <c r="E15" s="176"/>
      <c r="F15" s="176"/>
      <c r="G15" s="201"/>
      <c r="H15" s="177"/>
      <c r="I15" s="176"/>
    </row>
    <row r="16" spans="1:9" s="1" customFormat="1" ht="15" hidden="1" outlineLevel="1">
      <c r="A16" s="176"/>
      <c r="B16" s="175"/>
      <c r="C16" s="175"/>
      <c r="D16" s="176"/>
      <c r="E16" s="176"/>
      <c r="F16" s="176"/>
      <c r="G16" s="176"/>
      <c r="H16" s="177"/>
      <c r="I16" s="176"/>
    </row>
    <row r="17" spans="1:10" s="1" customFormat="1" ht="15" hidden="1" outlineLevel="1">
      <c r="A17" s="283">
        <v>42155</v>
      </c>
      <c r="B17" s="169" t="s">
        <v>656</v>
      </c>
      <c r="C17" s="169" t="s">
        <v>657</v>
      </c>
      <c r="D17" s="170" t="s">
        <v>658</v>
      </c>
      <c r="E17" s="170"/>
      <c r="F17" s="170"/>
      <c r="G17" s="170"/>
      <c r="H17" s="171">
        <v>0</v>
      </c>
      <c r="I17" s="176"/>
      <c r="J17" s="2" t="s">
        <v>659</v>
      </c>
    </row>
    <row r="18" spans="1:9" s="1" customFormat="1" ht="15" hidden="1" outlineLevel="1">
      <c r="A18" s="176"/>
      <c r="B18" s="175"/>
      <c r="C18" s="175"/>
      <c r="D18" s="176"/>
      <c r="E18" s="176"/>
      <c r="F18" s="176"/>
      <c r="G18" s="201" t="s">
        <v>666</v>
      </c>
      <c r="H18" s="177">
        <f>SUM(H17)</f>
        <v>0</v>
      </c>
      <c r="I18" s="176"/>
    </row>
    <row r="19" spans="1:9" s="1" customFormat="1" ht="15" hidden="1" outlineLevel="1">
      <c r="A19" s="176"/>
      <c r="B19" s="175"/>
      <c r="C19" s="175"/>
      <c r="D19" s="176"/>
      <c r="E19" s="176"/>
      <c r="F19" s="176"/>
      <c r="G19" s="176"/>
      <c r="H19" s="177"/>
      <c r="I19" s="176"/>
    </row>
    <row r="20" spans="1:10" s="1" customFormat="1" ht="15" hidden="1" outlineLevel="1">
      <c r="A20" s="283">
        <v>42155</v>
      </c>
      <c r="B20" s="169" t="s">
        <v>656</v>
      </c>
      <c r="C20" s="169" t="s">
        <v>660</v>
      </c>
      <c r="D20" s="170" t="s">
        <v>661</v>
      </c>
      <c r="E20" s="170"/>
      <c r="F20" s="170"/>
      <c r="G20" s="170"/>
      <c r="H20" s="171">
        <v>0</v>
      </c>
      <c r="I20" s="176"/>
      <c r="J20" s="2" t="s">
        <v>659</v>
      </c>
    </row>
    <row r="21" spans="1:9" s="1" customFormat="1" ht="15" hidden="1" outlineLevel="1">
      <c r="A21" s="176"/>
      <c r="B21" s="175"/>
      <c r="C21" s="175"/>
      <c r="D21" s="176"/>
      <c r="E21" s="176"/>
      <c r="F21" s="176"/>
      <c r="G21" s="201" t="s">
        <v>667</v>
      </c>
      <c r="H21" s="177">
        <f>SUM(H20)</f>
        <v>0</v>
      </c>
      <c r="I21" s="176"/>
    </row>
    <row r="22" spans="1:9" s="1" customFormat="1" ht="15" hidden="1" outlineLevel="1">
      <c r="A22" s="176"/>
      <c r="B22" s="175"/>
      <c r="C22" s="175"/>
      <c r="D22" s="176"/>
      <c r="E22" s="176"/>
      <c r="F22" s="176"/>
      <c r="G22" s="176"/>
      <c r="H22" s="177"/>
      <c r="I22" s="176"/>
    </row>
    <row r="23" spans="1:10" s="1" customFormat="1" ht="15" hidden="1" outlineLevel="1">
      <c r="A23" s="283">
        <v>42155</v>
      </c>
      <c r="B23" s="169" t="s">
        <v>656</v>
      </c>
      <c r="C23" s="169" t="s">
        <v>662</v>
      </c>
      <c r="D23" s="170" t="s">
        <v>663</v>
      </c>
      <c r="E23" s="170"/>
      <c r="F23" s="170"/>
      <c r="G23" s="170"/>
      <c r="H23" s="171">
        <v>0</v>
      </c>
      <c r="I23" s="176"/>
      <c r="J23" s="2" t="s">
        <v>659</v>
      </c>
    </row>
    <row r="24" spans="1:9" s="1" customFormat="1" ht="15" hidden="1" outlineLevel="1">
      <c r="A24" s="176"/>
      <c r="B24" s="175"/>
      <c r="C24" s="175"/>
      <c r="D24" s="176"/>
      <c r="E24" s="176"/>
      <c r="F24" s="176"/>
      <c r="G24" s="201" t="s">
        <v>668</v>
      </c>
      <c r="H24" s="177">
        <f>SUM(H23)</f>
        <v>0</v>
      </c>
      <c r="I24" s="176"/>
    </row>
    <row r="25" spans="1:9" s="1" customFormat="1" ht="15" hidden="1" outlineLevel="1">
      <c r="A25" s="176"/>
      <c r="B25" s="175"/>
      <c r="C25" s="175"/>
      <c r="D25" s="176"/>
      <c r="E25" s="176"/>
      <c r="F25" s="176"/>
      <c r="G25" s="176"/>
      <c r="H25" s="177"/>
      <c r="I25" s="176"/>
    </row>
    <row r="26" spans="1:9" s="1" customFormat="1" ht="15" hidden="1" outlineLevel="1">
      <c r="A26" s="176"/>
      <c r="B26" s="175"/>
      <c r="C26" s="175"/>
      <c r="D26" s="176"/>
      <c r="E26" s="176"/>
      <c r="F26" s="176"/>
      <c r="G26" s="201" t="s">
        <v>669</v>
      </c>
      <c r="H26" s="177">
        <f>H18+H21+H24</f>
        <v>0</v>
      </c>
      <c r="I26" s="176"/>
    </row>
    <row r="27" spans="1:9" s="1" customFormat="1" ht="15" collapsed="1">
      <c r="A27" s="176"/>
      <c r="B27" s="175"/>
      <c r="C27" s="175"/>
      <c r="D27" s="176"/>
      <c r="E27" s="176"/>
      <c r="F27" s="176"/>
      <c r="G27" s="176"/>
      <c r="H27" s="177"/>
      <c r="I27" s="176"/>
    </row>
    <row r="28" spans="1:9" s="1" customFormat="1" ht="15" collapsed="1">
      <c r="A28" s="176"/>
      <c r="B28" s="175"/>
      <c r="C28" s="175"/>
      <c r="D28" s="176"/>
      <c r="E28" s="176"/>
      <c r="F28" s="176"/>
      <c r="G28" s="201" t="s">
        <v>434</v>
      </c>
      <c r="H28" s="277">
        <f>H14+H26</f>
        <v>0</v>
      </c>
      <c r="I28" s="176"/>
    </row>
    <row r="29" spans="1:9" s="1" customFormat="1" ht="15">
      <c r="A29" s="176"/>
      <c r="B29" s="175"/>
      <c r="C29" s="175"/>
      <c r="D29" s="176"/>
      <c r="E29" s="176"/>
      <c r="F29" s="176"/>
      <c r="G29" s="176"/>
      <c r="H29" s="172" t="s">
        <v>1</v>
      </c>
      <c r="I29" s="176"/>
    </row>
    <row r="30" spans="1:9" s="1" customFormat="1" ht="15">
      <c r="A30" s="272" t="s">
        <v>95</v>
      </c>
      <c r="B30" s="176"/>
      <c r="C30" s="175"/>
      <c r="D30" s="176"/>
      <c r="E30" s="176"/>
      <c r="F30" s="176"/>
      <c r="G30" s="176"/>
      <c r="H30" s="172" t="s">
        <v>1</v>
      </c>
      <c r="I30" s="176"/>
    </row>
    <row r="31" spans="1:10" s="199" customFormat="1" ht="15" hidden="1" outlineLevel="1">
      <c r="A31" s="212">
        <v>42370</v>
      </c>
      <c r="B31" s="213" t="s">
        <v>255</v>
      </c>
      <c r="C31" s="214">
        <v>1690</v>
      </c>
      <c r="D31" s="215" t="s">
        <v>1352</v>
      </c>
      <c r="E31" s="215"/>
      <c r="F31" s="215"/>
      <c r="G31" s="215"/>
      <c r="H31" s="206">
        <v>0</v>
      </c>
      <c r="I31" s="216"/>
      <c r="J31" s="199" t="s">
        <v>1353</v>
      </c>
    </row>
    <row r="32" spans="1:9" s="199" customFormat="1" ht="15" hidden="1" outlineLevel="1">
      <c r="A32" s="217"/>
      <c r="B32" s="218"/>
      <c r="C32" s="219"/>
      <c r="D32" s="216"/>
      <c r="E32" s="216"/>
      <c r="F32" s="216"/>
      <c r="G32" s="207" t="s">
        <v>1354</v>
      </c>
      <c r="H32" s="208">
        <f>SUM(H31)</f>
        <v>0</v>
      </c>
      <c r="I32" s="216"/>
    </row>
    <row r="33" spans="1:9" s="1" customFormat="1" ht="15" collapsed="1">
      <c r="A33" s="272"/>
      <c r="B33" s="176"/>
      <c r="C33" s="175"/>
      <c r="D33" s="176"/>
      <c r="E33" s="176"/>
      <c r="F33" s="176"/>
      <c r="G33" s="176"/>
      <c r="H33" s="172"/>
      <c r="I33" s="176"/>
    </row>
    <row r="34" spans="1:10" s="2" customFormat="1" ht="15">
      <c r="A34" s="182">
        <v>42736</v>
      </c>
      <c r="B34" s="183" t="s">
        <v>255</v>
      </c>
      <c r="C34" s="192">
        <v>4430</v>
      </c>
      <c r="D34" s="184" t="s">
        <v>256</v>
      </c>
      <c r="E34" s="184"/>
      <c r="F34" s="184"/>
      <c r="G34" s="184"/>
      <c r="H34" s="171">
        <v>133192</v>
      </c>
      <c r="I34" s="193"/>
      <c r="J34" s="2" t="s">
        <v>192</v>
      </c>
    </row>
    <row r="35" spans="1:9" s="2" customFormat="1" ht="15">
      <c r="A35" s="188"/>
      <c r="B35" s="262"/>
      <c r="C35" s="270"/>
      <c r="D35" s="193"/>
      <c r="E35" s="193"/>
      <c r="F35" s="193"/>
      <c r="G35" s="201" t="s">
        <v>257</v>
      </c>
      <c r="H35" s="177">
        <f>SUM(H34)</f>
        <v>133192</v>
      </c>
      <c r="I35" s="193"/>
    </row>
    <row r="36" spans="1:9" s="199" customFormat="1" ht="15" hidden="1" outlineLevel="1">
      <c r="A36" s="217"/>
      <c r="B36" s="218"/>
      <c r="C36" s="219"/>
      <c r="D36" s="216"/>
      <c r="E36" s="216"/>
      <c r="F36" s="216"/>
      <c r="G36" s="207"/>
      <c r="H36" s="208"/>
      <c r="I36" s="216"/>
    </row>
    <row r="37" spans="1:10" s="199" customFormat="1" ht="15" hidden="1" outlineLevel="1">
      <c r="A37" s="212">
        <v>42471</v>
      </c>
      <c r="B37" s="213" t="s">
        <v>255</v>
      </c>
      <c r="C37" s="214">
        <v>4660</v>
      </c>
      <c r="D37" s="215" t="s">
        <v>1311</v>
      </c>
      <c r="E37" s="215"/>
      <c r="F37" s="215"/>
      <c r="G37" s="215"/>
      <c r="H37" s="206">
        <v>0</v>
      </c>
      <c r="I37" s="216"/>
      <c r="J37" s="199" t="s">
        <v>1266</v>
      </c>
    </row>
    <row r="38" spans="1:9" s="199" customFormat="1" ht="15" hidden="1" outlineLevel="1">
      <c r="A38" s="217"/>
      <c r="B38" s="218"/>
      <c r="C38" s="219"/>
      <c r="D38" s="216"/>
      <c r="E38" s="216"/>
      <c r="F38" s="216"/>
      <c r="G38" s="207" t="s">
        <v>732</v>
      </c>
      <c r="H38" s="208">
        <f>SUM(H37:H37)</f>
        <v>0</v>
      </c>
      <c r="I38" s="216"/>
    </row>
    <row r="39" spans="1:9" s="2" customFormat="1" ht="15" collapsed="1">
      <c r="A39" s="188"/>
      <c r="B39" s="262"/>
      <c r="C39" s="270"/>
      <c r="D39" s="193"/>
      <c r="E39" s="193"/>
      <c r="F39" s="193"/>
      <c r="G39" s="201"/>
      <c r="H39" s="177"/>
      <c r="I39" s="193"/>
    </row>
    <row r="40" spans="1:9" s="2" customFormat="1" ht="15">
      <c r="A40" s="188"/>
      <c r="B40" s="262"/>
      <c r="C40" s="270"/>
      <c r="D40" s="193"/>
      <c r="E40" s="193"/>
      <c r="F40" s="193"/>
      <c r="G40" s="201" t="s">
        <v>733</v>
      </c>
      <c r="H40" s="177">
        <f>H32+H35+H38</f>
        <v>133192</v>
      </c>
      <c r="I40" s="193"/>
    </row>
    <row r="41" spans="1:9" s="199" customFormat="1" ht="15" hidden="1" outlineLevel="1">
      <c r="A41" s="217"/>
      <c r="B41" s="218"/>
      <c r="C41" s="219"/>
      <c r="D41" s="216"/>
      <c r="E41" s="216"/>
      <c r="F41" s="216"/>
      <c r="G41" s="216"/>
      <c r="H41" s="208" t="s">
        <v>1</v>
      </c>
      <c r="I41" s="216"/>
    </row>
    <row r="42" spans="1:10" s="199" customFormat="1" ht="15" hidden="1" outlineLevel="1">
      <c r="A42" s="212">
        <v>42124</v>
      </c>
      <c r="B42" s="213" t="s">
        <v>152</v>
      </c>
      <c r="C42" s="220" t="s">
        <v>153</v>
      </c>
      <c r="D42" s="215" t="s">
        <v>880</v>
      </c>
      <c r="E42" s="215"/>
      <c r="F42" s="215"/>
      <c r="G42" s="215"/>
      <c r="H42" s="206">
        <v>0</v>
      </c>
      <c r="I42" s="216"/>
      <c r="J42" s="199" t="s">
        <v>155</v>
      </c>
    </row>
    <row r="43" spans="1:9" s="199" customFormat="1" ht="15" hidden="1" outlineLevel="1">
      <c r="A43" s="217"/>
      <c r="B43" s="218"/>
      <c r="C43" s="221"/>
      <c r="D43" s="216"/>
      <c r="E43" s="216"/>
      <c r="F43" s="216"/>
      <c r="G43" s="207" t="s">
        <v>172</v>
      </c>
      <c r="H43" s="208">
        <f>SUM(H42)</f>
        <v>0</v>
      </c>
      <c r="I43" s="216"/>
    </row>
    <row r="44" spans="1:9" s="199" customFormat="1" ht="15" hidden="1" outlineLevel="1">
      <c r="A44" s="217"/>
      <c r="B44" s="218"/>
      <c r="C44" s="221"/>
      <c r="D44" s="216"/>
      <c r="E44" s="216"/>
      <c r="F44" s="216"/>
      <c r="G44" s="216"/>
      <c r="H44" s="208"/>
      <c r="I44" s="216"/>
    </row>
    <row r="45" spans="1:10" s="199" customFormat="1" ht="15" hidden="1" outlineLevel="1">
      <c r="A45" s="212">
        <v>42346</v>
      </c>
      <c r="B45" s="213" t="s">
        <v>152</v>
      </c>
      <c r="C45" s="220" t="s">
        <v>72</v>
      </c>
      <c r="D45" s="215" t="s">
        <v>810</v>
      </c>
      <c r="E45" s="215"/>
      <c r="F45" s="215"/>
      <c r="G45" s="215"/>
      <c r="H45" s="206">
        <v>0</v>
      </c>
      <c r="I45" s="216"/>
      <c r="J45" s="199" t="s">
        <v>155</v>
      </c>
    </row>
    <row r="46" spans="1:9" s="199" customFormat="1" ht="15" hidden="1" outlineLevel="1">
      <c r="A46" s="217"/>
      <c r="B46" s="218"/>
      <c r="C46" s="221"/>
      <c r="D46" s="216"/>
      <c r="E46" s="216"/>
      <c r="F46" s="216"/>
      <c r="G46" s="207" t="s">
        <v>173</v>
      </c>
      <c r="H46" s="208">
        <f>SUM(H45:H45)</f>
        <v>0</v>
      </c>
      <c r="I46" s="216"/>
    </row>
    <row r="47" spans="1:9" s="199" customFormat="1" ht="15" hidden="1" outlineLevel="1">
      <c r="A47" s="217"/>
      <c r="B47" s="218"/>
      <c r="C47" s="221"/>
      <c r="D47" s="216"/>
      <c r="E47" s="216"/>
      <c r="F47" s="216"/>
      <c r="G47" s="216"/>
      <c r="H47" s="208"/>
      <c r="I47" s="216"/>
    </row>
    <row r="48" spans="1:9" s="199" customFormat="1" ht="15" hidden="1" outlineLevel="1">
      <c r="A48" s="217"/>
      <c r="B48" s="218"/>
      <c r="C48" s="221"/>
      <c r="D48" s="216"/>
      <c r="E48" s="216"/>
      <c r="F48" s="216"/>
      <c r="G48" s="207" t="s">
        <v>174</v>
      </c>
      <c r="H48" s="208">
        <f>H43+H46</f>
        <v>0</v>
      </c>
      <c r="I48" s="216"/>
    </row>
    <row r="49" spans="1:9" s="199" customFormat="1" ht="15" hidden="1" outlineLevel="1">
      <c r="A49" s="217"/>
      <c r="B49" s="218"/>
      <c r="C49" s="221"/>
      <c r="D49" s="216"/>
      <c r="E49" s="216"/>
      <c r="F49" s="216"/>
      <c r="G49" s="207"/>
      <c r="H49" s="208"/>
      <c r="I49" s="216"/>
    </row>
    <row r="50" spans="1:10" s="199" customFormat="1" ht="15" hidden="1" outlineLevel="1">
      <c r="A50" s="212">
        <v>42710</v>
      </c>
      <c r="B50" s="213" t="s">
        <v>1297</v>
      </c>
      <c r="C50" s="220" t="s">
        <v>1299</v>
      </c>
      <c r="D50" s="215" t="s">
        <v>1298</v>
      </c>
      <c r="E50" s="215"/>
      <c r="F50" s="215"/>
      <c r="G50" s="222"/>
      <c r="H50" s="206">
        <v>0</v>
      </c>
      <c r="I50" s="216"/>
      <c r="J50" s="199" t="s">
        <v>646</v>
      </c>
    </row>
    <row r="51" spans="1:9" s="199" customFormat="1" ht="15" hidden="1" outlineLevel="1">
      <c r="A51" s="217"/>
      <c r="B51" s="218"/>
      <c r="C51" s="221"/>
      <c r="D51" s="216"/>
      <c r="E51" s="216"/>
      <c r="F51" s="216"/>
      <c r="G51" s="207" t="s">
        <v>1300</v>
      </c>
      <c r="H51" s="208">
        <f>SUM(H50)</f>
        <v>0</v>
      </c>
      <c r="I51" s="216"/>
    </row>
    <row r="52" spans="1:9" s="199" customFormat="1" ht="15" hidden="1" outlineLevel="1">
      <c r="A52" s="217"/>
      <c r="B52" s="218"/>
      <c r="C52" s="221"/>
      <c r="D52" s="216"/>
      <c r="E52" s="216"/>
      <c r="F52" s="216"/>
      <c r="G52" s="207"/>
      <c r="H52" s="208"/>
      <c r="I52" s="216"/>
    </row>
    <row r="53" spans="1:10" s="199" customFormat="1" ht="15" hidden="1" outlineLevel="1">
      <c r="A53" s="212">
        <v>42346</v>
      </c>
      <c r="B53" s="213" t="s">
        <v>770</v>
      </c>
      <c r="C53" s="220" t="s">
        <v>72</v>
      </c>
      <c r="D53" s="215" t="s">
        <v>771</v>
      </c>
      <c r="E53" s="215"/>
      <c r="F53" s="215"/>
      <c r="G53" s="222"/>
      <c r="H53" s="206">
        <v>0</v>
      </c>
      <c r="I53" s="216"/>
      <c r="J53" s="199" t="s">
        <v>155</v>
      </c>
    </row>
    <row r="54" spans="1:9" s="199" customFormat="1" ht="15" hidden="1" outlineLevel="1">
      <c r="A54" s="217"/>
      <c r="B54" s="218"/>
      <c r="C54" s="221"/>
      <c r="D54" s="216"/>
      <c r="E54" s="216"/>
      <c r="F54" s="216"/>
      <c r="G54" s="207" t="s">
        <v>772</v>
      </c>
      <c r="H54" s="208">
        <f>SUM(H53)</f>
        <v>0</v>
      </c>
      <c r="I54" s="216"/>
    </row>
    <row r="55" spans="1:9" s="199" customFormat="1" ht="15" hidden="1" outlineLevel="1">
      <c r="A55" s="217"/>
      <c r="B55" s="218"/>
      <c r="C55" s="221"/>
      <c r="D55" s="216"/>
      <c r="E55" s="216"/>
      <c r="F55" s="216"/>
      <c r="G55" s="207"/>
      <c r="H55" s="208"/>
      <c r="I55" s="216"/>
    </row>
    <row r="56" spans="1:10" s="199" customFormat="1" ht="15" hidden="1" outlineLevel="1">
      <c r="A56" s="212">
        <v>42370</v>
      </c>
      <c r="B56" s="213" t="s">
        <v>1148</v>
      </c>
      <c r="C56" s="220" t="s">
        <v>1149</v>
      </c>
      <c r="D56" s="215" t="s">
        <v>1150</v>
      </c>
      <c r="E56" s="215"/>
      <c r="F56" s="215"/>
      <c r="G56" s="222"/>
      <c r="H56" s="206">
        <v>0</v>
      </c>
      <c r="I56" s="216"/>
      <c r="J56" s="199" t="s">
        <v>485</v>
      </c>
    </row>
    <row r="57" spans="1:9" s="199" customFormat="1" ht="15" hidden="1" outlineLevel="1">
      <c r="A57" s="217"/>
      <c r="B57" s="218"/>
      <c r="C57" s="221"/>
      <c r="D57" s="216"/>
      <c r="E57" s="216"/>
      <c r="F57" s="216"/>
      <c r="G57" s="207" t="s">
        <v>1151</v>
      </c>
      <c r="H57" s="208">
        <f>SUM(H56)</f>
        <v>0</v>
      </c>
      <c r="I57" s="216"/>
    </row>
    <row r="58" spans="1:9" s="199" customFormat="1" ht="15" hidden="1" outlineLevel="1">
      <c r="A58" s="217"/>
      <c r="B58" s="218"/>
      <c r="C58" s="221"/>
      <c r="D58" s="216"/>
      <c r="E58" s="216"/>
      <c r="F58" s="216"/>
      <c r="G58" s="207"/>
      <c r="H58" s="208"/>
      <c r="I58" s="216"/>
    </row>
    <row r="59" spans="1:10" s="199" customFormat="1" ht="15" hidden="1" outlineLevel="1">
      <c r="A59" s="212">
        <v>42370</v>
      </c>
      <c r="B59" s="213" t="s">
        <v>1152</v>
      </c>
      <c r="C59" s="220" t="s">
        <v>1149</v>
      </c>
      <c r="D59" s="215" t="s">
        <v>1153</v>
      </c>
      <c r="E59" s="215"/>
      <c r="F59" s="215"/>
      <c r="G59" s="222"/>
      <c r="H59" s="206">
        <v>0</v>
      </c>
      <c r="I59" s="216"/>
      <c r="J59" s="199" t="s">
        <v>485</v>
      </c>
    </row>
    <row r="60" spans="1:9" s="199" customFormat="1" ht="15" hidden="1" outlineLevel="1">
      <c r="A60" s="217"/>
      <c r="B60" s="218"/>
      <c r="C60" s="221"/>
      <c r="D60" s="216"/>
      <c r="E60" s="216"/>
      <c r="F60" s="216"/>
      <c r="G60" s="207" t="s">
        <v>1154</v>
      </c>
      <c r="H60" s="208">
        <f>SUM(H59)</f>
        <v>0</v>
      </c>
      <c r="I60" s="216"/>
    </row>
    <row r="61" spans="1:9" s="199" customFormat="1" ht="15" hidden="1" outlineLevel="1">
      <c r="A61" s="217"/>
      <c r="B61" s="218"/>
      <c r="C61" s="221"/>
      <c r="D61" s="216"/>
      <c r="E61" s="216"/>
      <c r="F61" s="216"/>
      <c r="G61" s="207"/>
      <c r="H61" s="208"/>
      <c r="I61" s="216"/>
    </row>
    <row r="62" spans="1:10" s="199" customFormat="1" ht="15" hidden="1" outlineLevel="1">
      <c r="A62" s="212">
        <v>42712</v>
      </c>
      <c r="B62" s="213" t="s">
        <v>683</v>
      </c>
      <c r="C62" s="220" t="s">
        <v>72</v>
      </c>
      <c r="D62" s="215" t="s">
        <v>1263</v>
      </c>
      <c r="E62" s="215"/>
      <c r="F62" s="215"/>
      <c r="G62" s="222"/>
      <c r="H62" s="206">
        <v>0</v>
      </c>
      <c r="I62" s="216"/>
      <c r="J62" s="199" t="s">
        <v>1468</v>
      </c>
    </row>
    <row r="63" spans="1:9" s="199" customFormat="1" ht="15" hidden="1" outlineLevel="1">
      <c r="A63" s="217"/>
      <c r="B63" s="218"/>
      <c r="C63" s="221"/>
      <c r="D63" s="216"/>
      <c r="E63" s="216"/>
      <c r="F63" s="216"/>
      <c r="G63" s="207" t="s">
        <v>684</v>
      </c>
      <c r="H63" s="208">
        <f>SUM(H62)</f>
        <v>0</v>
      </c>
      <c r="I63" s="216"/>
    </row>
    <row r="64" spans="1:9" s="199" customFormat="1" ht="15" hidden="1" outlineLevel="1">
      <c r="A64" s="217"/>
      <c r="B64" s="218"/>
      <c r="C64" s="221"/>
      <c r="D64" s="216"/>
      <c r="E64" s="216"/>
      <c r="F64" s="216"/>
      <c r="G64" s="207"/>
      <c r="H64" s="208"/>
      <c r="I64" s="216"/>
    </row>
    <row r="65" spans="1:10" s="199" customFormat="1" ht="15" hidden="1" outlineLevel="1">
      <c r="A65" s="212">
        <v>42257</v>
      </c>
      <c r="B65" s="213" t="s">
        <v>683</v>
      </c>
      <c r="C65" s="220" t="s">
        <v>78</v>
      </c>
      <c r="D65" s="215" t="s">
        <v>724</v>
      </c>
      <c r="E65" s="215"/>
      <c r="F65" s="215"/>
      <c r="G65" s="222"/>
      <c r="H65" s="206">
        <v>0</v>
      </c>
      <c r="I65" s="216"/>
      <c r="J65" s="199" t="s">
        <v>717</v>
      </c>
    </row>
    <row r="66" spans="1:9" s="199" customFormat="1" ht="15" hidden="1" outlineLevel="1">
      <c r="A66" s="217"/>
      <c r="B66" s="218"/>
      <c r="C66" s="221"/>
      <c r="D66" s="216"/>
      <c r="E66" s="216"/>
      <c r="F66" s="216"/>
      <c r="G66" s="207" t="s">
        <v>725</v>
      </c>
      <c r="H66" s="208">
        <f>SUM(H65)</f>
        <v>0</v>
      </c>
      <c r="I66" s="216"/>
    </row>
    <row r="67" spans="1:9" s="199" customFormat="1" ht="15" hidden="1" outlineLevel="1">
      <c r="A67" s="217"/>
      <c r="B67" s="218"/>
      <c r="C67" s="221"/>
      <c r="D67" s="216"/>
      <c r="E67" s="216"/>
      <c r="F67" s="216"/>
      <c r="G67" s="207"/>
      <c r="H67" s="208"/>
      <c r="I67" s="216"/>
    </row>
    <row r="68" spans="1:9" s="199" customFormat="1" ht="15" hidden="1" outlineLevel="1">
      <c r="A68" s="217"/>
      <c r="B68" s="218"/>
      <c r="C68" s="221"/>
      <c r="D68" s="216"/>
      <c r="E68" s="216"/>
      <c r="F68" s="216"/>
      <c r="G68" s="207" t="s">
        <v>726</v>
      </c>
      <c r="H68" s="208">
        <f>H63+H66</f>
        <v>0</v>
      </c>
      <c r="I68" s="216"/>
    </row>
    <row r="69" spans="1:9" s="199" customFormat="1" ht="15" hidden="1" outlineLevel="1">
      <c r="A69" s="217"/>
      <c r="B69" s="218"/>
      <c r="C69" s="221"/>
      <c r="D69" s="216"/>
      <c r="E69" s="216"/>
      <c r="F69" s="216"/>
      <c r="G69" s="207"/>
      <c r="H69" s="208"/>
      <c r="I69" s="216"/>
    </row>
    <row r="70" spans="1:10" s="199" customFormat="1" ht="15" hidden="1" outlineLevel="1">
      <c r="A70" s="212">
        <v>42710</v>
      </c>
      <c r="B70" s="213" t="s">
        <v>1304</v>
      </c>
      <c r="C70" s="220" t="s">
        <v>87</v>
      </c>
      <c r="D70" s="215" t="s">
        <v>1305</v>
      </c>
      <c r="E70" s="215"/>
      <c r="F70" s="215"/>
      <c r="G70" s="222"/>
      <c r="H70" s="206">
        <v>0</v>
      </c>
      <c r="I70" s="216"/>
      <c r="J70" s="199" t="s">
        <v>646</v>
      </c>
    </row>
    <row r="71" spans="1:9" s="199" customFormat="1" ht="15" hidden="1" outlineLevel="1">
      <c r="A71" s="217"/>
      <c r="B71" s="218"/>
      <c r="C71" s="221"/>
      <c r="D71" s="216"/>
      <c r="E71" s="216"/>
      <c r="F71" s="216"/>
      <c r="G71" s="207" t="s">
        <v>1306</v>
      </c>
      <c r="H71" s="208">
        <f>SUM(H70)</f>
        <v>0</v>
      </c>
      <c r="I71" s="216"/>
    </row>
    <row r="72" spans="1:9" s="199" customFormat="1" ht="15" hidden="1" outlineLevel="1">
      <c r="A72" s="217"/>
      <c r="B72" s="218"/>
      <c r="C72" s="221"/>
      <c r="D72" s="216"/>
      <c r="E72" s="216"/>
      <c r="F72" s="216"/>
      <c r="G72" s="207"/>
      <c r="H72" s="208"/>
      <c r="I72" s="216"/>
    </row>
    <row r="73" spans="1:10" s="199" customFormat="1" ht="15" hidden="1" outlineLevel="1">
      <c r="A73" s="212">
        <v>42370</v>
      </c>
      <c r="B73" s="213" t="s">
        <v>181</v>
      </c>
      <c r="C73" s="220" t="s">
        <v>759</v>
      </c>
      <c r="D73" s="215" t="s">
        <v>1035</v>
      </c>
      <c r="E73" s="215"/>
      <c r="F73" s="215"/>
      <c r="G73" s="222"/>
      <c r="H73" s="206">
        <v>0</v>
      </c>
      <c r="I73" s="216"/>
      <c r="J73" s="199" t="s">
        <v>184</v>
      </c>
    </row>
    <row r="74" spans="1:9" s="199" customFormat="1" ht="15" hidden="1" outlineLevel="1">
      <c r="A74" s="217"/>
      <c r="B74" s="218"/>
      <c r="C74" s="221"/>
      <c r="D74" s="216"/>
      <c r="E74" s="216"/>
      <c r="F74" s="216"/>
      <c r="G74" s="207" t="s">
        <v>1036</v>
      </c>
      <c r="H74" s="208">
        <f>SUM(H73)</f>
        <v>0</v>
      </c>
      <c r="I74" s="216"/>
    </row>
    <row r="75" spans="1:9" s="199" customFormat="1" ht="15" hidden="1" outlineLevel="1">
      <c r="A75" s="217"/>
      <c r="B75" s="218"/>
      <c r="C75" s="221"/>
      <c r="D75" s="216"/>
      <c r="E75" s="216"/>
      <c r="F75" s="216"/>
      <c r="G75" s="207"/>
      <c r="H75" s="208"/>
      <c r="I75" s="216"/>
    </row>
    <row r="76" spans="1:10" s="199" customFormat="1" ht="15" hidden="1" outlineLevel="1">
      <c r="A76" s="212">
        <v>42712</v>
      </c>
      <c r="B76" s="213" t="s">
        <v>181</v>
      </c>
      <c r="C76" s="220" t="s">
        <v>72</v>
      </c>
      <c r="D76" s="215" t="s">
        <v>1261</v>
      </c>
      <c r="E76" s="215"/>
      <c r="F76" s="215"/>
      <c r="G76" s="222"/>
      <c r="H76" s="206">
        <v>0</v>
      </c>
      <c r="I76" s="216"/>
      <c r="J76" s="199" t="s">
        <v>1468</v>
      </c>
    </row>
    <row r="77" spans="1:9" s="199" customFormat="1" ht="15" hidden="1" outlineLevel="1">
      <c r="A77" s="217"/>
      <c r="B77" s="218"/>
      <c r="C77" s="221"/>
      <c r="D77" s="216"/>
      <c r="E77" s="216"/>
      <c r="F77" s="216"/>
      <c r="G77" s="207" t="s">
        <v>1262</v>
      </c>
      <c r="H77" s="208">
        <f>SUM(H76)</f>
        <v>0</v>
      </c>
      <c r="I77" s="216"/>
    </row>
    <row r="78" spans="1:9" s="2" customFormat="1" ht="15" collapsed="1">
      <c r="A78" s="188"/>
      <c r="B78" s="262"/>
      <c r="C78" s="271"/>
      <c r="D78" s="193"/>
      <c r="E78" s="193"/>
      <c r="F78" s="193"/>
      <c r="G78" s="288"/>
      <c r="H78" s="177"/>
      <c r="I78" s="193"/>
    </row>
    <row r="79" spans="1:10" s="2" customFormat="1" ht="15">
      <c r="A79" s="188">
        <v>42736</v>
      </c>
      <c r="B79" s="262" t="s">
        <v>181</v>
      </c>
      <c r="C79" s="271" t="s">
        <v>182</v>
      </c>
      <c r="D79" s="193" t="s">
        <v>183</v>
      </c>
      <c r="E79" s="193"/>
      <c r="F79" s="193"/>
      <c r="G79" s="201"/>
      <c r="H79" s="177">
        <v>169080</v>
      </c>
      <c r="I79" s="193"/>
      <c r="J79" s="2" t="s">
        <v>184</v>
      </c>
    </row>
    <row r="80" spans="1:10" s="199" customFormat="1" ht="15" hidden="1" outlineLevel="1">
      <c r="A80" s="212">
        <v>42370</v>
      </c>
      <c r="B80" s="213" t="s">
        <v>181</v>
      </c>
      <c r="C80" s="220" t="s">
        <v>182</v>
      </c>
      <c r="D80" s="215" t="s">
        <v>185</v>
      </c>
      <c r="E80" s="215"/>
      <c r="F80" s="215"/>
      <c r="G80" s="222"/>
      <c r="H80" s="206">
        <v>0</v>
      </c>
      <c r="I80" s="216"/>
      <c r="J80" s="199" t="s">
        <v>184</v>
      </c>
    </row>
    <row r="81" spans="1:9" s="2" customFormat="1" ht="15" collapsed="1">
      <c r="A81" s="188"/>
      <c r="B81" s="262"/>
      <c r="C81" s="271"/>
      <c r="D81" s="193"/>
      <c r="E81" s="193"/>
      <c r="F81" s="193"/>
      <c r="G81" s="201" t="s">
        <v>183</v>
      </c>
      <c r="H81" s="177">
        <f>SUM(H79:H80)</f>
        <v>169080</v>
      </c>
      <c r="I81" s="193"/>
    </row>
    <row r="82" spans="1:9" s="199" customFormat="1" ht="15" hidden="1" outlineLevel="1">
      <c r="A82" s="217"/>
      <c r="B82" s="218"/>
      <c r="C82" s="221"/>
      <c r="D82" s="216"/>
      <c r="E82" s="216"/>
      <c r="F82" s="216"/>
      <c r="G82" s="207"/>
      <c r="H82" s="208"/>
      <c r="I82" s="216"/>
    </row>
    <row r="83" spans="1:10" s="199" customFormat="1" ht="15" hidden="1" outlineLevel="1">
      <c r="A83" s="212">
        <v>42471</v>
      </c>
      <c r="B83" s="213" t="s">
        <v>181</v>
      </c>
      <c r="C83" s="220" t="s">
        <v>1314</v>
      </c>
      <c r="D83" s="215" t="s">
        <v>1310</v>
      </c>
      <c r="E83" s="215"/>
      <c r="F83" s="215"/>
      <c r="G83" s="222"/>
      <c r="H83" s="206">
        <v>0</v>
      </c>
      <c r="I83" s="216"/>
      <c r="J83" s="199" t="s">
        <v>1266</v>
      </c>
    </row>
    <row r="84" spans="1:9" s="199" customFormat="1" ht="15" hidden="1" outlineLevel="1">
      <c r="A84" s="217"/>
      <c r="B84" s="218"/>
      <c r="C84" s="221"/>
      <c r="D84" s="216"/>
      <c r="E84" s="216"/>
      <c r="F84" s="216"/>
      <c r="G84" s="207" t="s">
        <v>722</v>
      </c>
      <c r="H84" s="208">
        <f>SUM(H83)</f>
        <v>0</v>
      </c>
      <c r="I84" s="216"/>
    </row>
    <row r="85" spans="1:9" s="2" customFormat="1" ht="15" collapsed="1">
      <c r="A85" s="188"/>
      <c r="B85" s="262"/>
      <c r="C85" s="271"/>
      <c r="D85" s="193"/>
      <c r="E85" s="193"/>
      <c r="F85" s="193"/>
      <c r="G85" s="201"/>
      <c r="H85" s="177"/>
      <c r="I85" s="193"/>
    </row>
    <row r="86" spans="1:9" s="2" customFormat="1" ht="15">
      <c r="A86" s="188"/>
      <c r="B86" s="262"/>
      <c r="C86" s="271"/>
      <c r="D86" s="193"/>
      <c r="E86" s="193"/>
      <c r="F86" s="193"/>
      <c r="G86" s="201" t="s">
        <v>723</v>
      </c>
      <c r="H86" s="177">
        <f>H74+H77+H81+H84</f>
        <v>169080</v>
      </c>
      <c r="I86" s="193"/>
    </row>
    <row r="87" spans="1:9" s="199" customFormat="1" ht="15" hidden="1" outlineLevel="1">
      <c r="A87" s="217"/>
      <c r="B87" s="218"/>
      <c r="C87" s="221"/>
      <c r="D87" s="216"/>
      <c r="E87" s="216"/>
      <c r="F87" s="216"/>
      <c r="G87" s="207"/>
      <c r="H87" s="210"/>
      <c r="I87" s="216"/>
    </row>
    <row r="88" spans="1:10" s="199" customFormat="1" ht="15" hidden="1" outlineLevel="1">
      <c r="A88" s="212">
        <v>42145</v>
      </c>
      <c r="B88" s="213" t="s">
        <v>452</v>
      </c>
      <c r="C88" s="220" t="s">
        <v>87</v>
      </c>
      <c r="D88" s="215" t="s">
        <v>453</v>
      </c>
      <c r="E88" s="215"/>
      <c r="F88" s="215"/>
      <c r="G88" s="222"/>
      <c r="H88" s="206">
        <v>0</v>
      </c>
      <c r="I88" s="216"/>
      <c r="J88" s="199" t="s">
        <v>454</v>
      </c>
    </row>
    <row r="89" spans="1:9" s="199" customFormat="1" ht="15" hidden="1" outlineLevel="1">
      <c r="A89" s="217"/>
      <c r="B89" s="218"/>
      <c r="C89" s="221"/>
      <c r="D89" s="216"/>
      <c r="E89" s="216"/>
      <c r="F89" s="216"/>
      <c r="G89" s="207" t="s">
        <v>474</v>
      </c>
      <c r="H89" s="208">
        <f>SUM(H88)</f>
        <v>0</v>
      </c>
      <c r="I89" s="216"/>
    </row>
    <row r="90" spans="1:9" s="2" customFormat="1" ht="15" collapsed="1">
      <c r="A90" s="188"/>
      <c r="B90" s="262"/>
      <c r="C90" s="271"/>
      <c r="D90" s="193"/>
      <c r="E90" s="193"/>
      <c r="F90" s="193"/>
      <c r="G90" s="201"/>
      <c r="H90" s="177"/>
      <c r="I90" s="193"/>
    </row>
    <row r="91" spans="1:10" s="2" customFormat="1" ht="15">
      <c r="A91" s="182">
        <v>42901</v>
      </c>
      <c r="B91" s="183" t="s">
        <v>186</v>
      </c>
      <c r="C91" s="196" t="s">
        <v>72</v>
      </c>
      <c r="D91" s="184" t="s">
        <v>1260</v>
      </c>
      <c r="E91" s="184"/>
      <c r="F91" s="184"/>
      <c r="G91" s="185"/>
      <c r="H91" s="171">
        <v>69156</v>
      </c>
      <c r="I91" s="193"/>
      <c r="J91" s="2" t="s">
        <v>1600</v>
      </c>
    </row>
    <row r="92" spans="1:9" s="2" customFormat="1" ht="15">
      <c r="A92" s="188"/>
      <c r="B92" s="262"/>
      <c r="C92" s="271"/>
      <c r="D92" s="193"/>
      <c r="E92" s="193"/>
      <c r="F92" s="193"/>
      <c r="G92" s="201" t="s">
        <v>685</v>
      </c>
      <c r="H92" s="177">
        <f>SUM(H91:H91)</f>
        <v>69156</v>
      </c>
      <c r="I92" s="193"/>
    </row>
    <row r="93" spans="1:9" s="199" customFormat="1" ht="15" hidden="1" outlineLevel="1">
      <c r="A93" s="217"/>
      <c r="B93" s="218"/>
      <c r="C93" s="221"/>
      <c r="D93" s="216"/>
      <c r="E93" s="216"/>
      <c r="F93" s="216"/>
      <c r="G93" s="207"/>
      <c r="H93" s="208"/>
      <c r="I93" s="216"/>
    </row>
    <row r="94" spans="1:10" s="199" customFormat="1" ht="15" hidden="1" outlineLevel="1">
      <c r="A94" s="212">
        <v>42370</v>
      </c>
      <c r="B94" s="213" t="s">
        <v>186</v>
      </c>
      <c r="C94" s="220" t="s">
        <v>182</v>
      </c>
      <c r="D94" s="215" t="s">
        <v>187</v>
      </c>
      <c r="E94" s="215"/>
      <c r="F94" s="215"/>
      <c r="G94" s="222"/>
      <c r="H94" s="206">
        <v>0</v>
      </c>
      <c r="I94" s="216"/>
      <c r="J94" s="199" t="s">
        <v>188</v>
      </c>
    </row>
    <row r="95" spans="1:9" s="199" customFormat="1" ht="15" hidden="1" outlineLevel="1">
      <c r="A95" s="217"/>
      <c r="B95" s="218"/>
      <c r="C95" s="221"/>
      <c r="D95" s="216"/>
      <c r="E95" s="216"/>
      <c r="F95" s="216"/>
      <c r="G95" s="207" t="s">
        <v>187</v>
      </c>
      <c r="H95" s="208">
        <f>SUM(H94)</f>
        <v>0</v>
      </c>
      <c r="I95" s="216"/>
    </row>
    <row r="96" spans="1:9" s="199" customFormat="1" ht="15" hidden="1" outlineLevel="1">
      <c r="A96" s="217"/>
      <c r="B96" s="218"/>
      <c r="C96" s="221"/>
      <c r="D96" s="216"/>
      <c r="E96" s="216"/>
      <c r="F96" s="216"/>
      <c r="G96" s="207"/>
      <c r="H96" s="208"/>
      <c r="I96" s="216"/>
    </row>
    <row r="97" spans="1:9" s="199" customFormat="1" ht="15" hidden="1" outlineLevel="1">
      <c r="A97" s="223"/>
      <c r="B97" s="218"/>
      <c r="C97" s="219"/>
      <c r="D97" s="216"/>
      <c r="E97" s="216"/>
      <c r="F97" s="216"/>
      <c r="G97" s="207" t="s">
        <v>686</v>
      </c>
      <c r="H97" s="224">
        <f>H92+H95</f>
        <v>69156</v>
      </c>
      <c r="I97" s="216"/>
    </row>
    <row r="98" spans="1:9" s="199" customFormat="1" ht="15" hidden="1" outlineLevel="1">
      <c r="A98" s="223"/>
      <c r="B98" s="218"/>
      <c r="C98" s="219"/>
      <c r="D98" s="216"/>
      <c r="E98" s="216"/>
      <c r="F98" s="216"/>
      <c r="G98" s="207"/>
      <c r="H98" s="224"/>
      <c r="I98" s="216"/>
    </row>
    <row r="99" spans="1:10" s="199" customFormat="1" ht="15" hidden="1" outlineLevel="1">
      <c r="A99" s="212">
        <v>42346</v>
      </c>
      <c r="B99" s="213" t="s">
        <v>752</v>
      </c>
      <c r="C99" s="220" t="s">
        <v>72</v>
      </c>
      <c r="D99" s="215" t="s">
        <v>753</v>
      </c>
      <c r="E99" s="215"/>
      <c r="F99" s="215"/>
      <c r="G99" s="222"/>
      <c r="H99" s="206">
        <v>0</v>
      </c>
      <c r="I99" s="216"/>
      <c r="J99" s="199" t="s">
        <v>750</v>
      </c>
    </row>
    <row r="100" spans="1:9" s="199" customFormat="1" ht="15" hidden="1" outlineLevel="1">
      <c r="A100" s="217"/>
      <c r="B100" s="218"/>
      <c r="C100" s="221"/>
      <c r="D100" s="216"/>
      <c r="E100" s="216"/>
      <c r="F100" s="216"/>
      <c r="G100" s="207" t="s">
        <v>754</v>
      </c>
      <c r="H100" s="208">
        <f>SUM(H99)</f>
        <v>0</v>
      </c>
      <c r="I100" s="216"/>
    </row>
    <row r="101" spans="1:9" s="199" customFormat="1" ht="15" hidden="1" outlineLevel="1">
      <c r="A101" s="217"/>
      <c r="B101" s="218"/>
      <c r="C101" s="221"/>
      <c r="D101" s="216"/>
      <c r="E101" s="216"/>
      <c r="F101" s="216"/>
      <c r="G101" s="207"/>
      <c r="H101" s="208"/>
      <c r="I101" s="216"/>
    </row>
    <row r="102" spans="1:10" s="199" customFormat="1" ht="15" hidden="1" outlineLevel="1">
      <c r="A102" s="212">
        <v>42370</v>
      </c>
      <c r="B102" s="213" t="s">
        <v>752</v>
      </c>
      <c r="C102" s="220" t="s">
        <v>182</v>
      </c>
      <c r="D102" s="215" t="s">
        <v>1100</v>
      </c>
      <c r="E102" s="215"/>
      <c r="F102" s="215"/>
      <c r="G102" s="222"/>
      <c r="H102" s="206">
        <v>0</v>
      </c>
      <c r="I102" s="216"/>
      <c r="J102" s="199" t="s">
        <v>188</v>
      </c>
    </row>
    <row r="103" spans="1:9" s="199" customFormat="1" ht="15" hidden="1" outlineLevel="1">
      <c r="A103" s="217"/>
      <c r="B103" s="218"/>
      <c r="C103" s="221"/>
      <c r="D103" s="216"/>
      <c r="E103" s="216"/>
      <c r="F103" s="216"/>
      <c r="G103" s="207" t="s">
        <v>1100</v>
      </c>
      <c r="H103" s="208">
        <f>SUM(H102)</f>
        <v>0</v>
      </c>
      <c r="I103" s="216"/>
    </row>
    <row r="104" spans="1:9" s="199" customFormat="1" ht="15" hidden="1" outlineLevel="1">
      <c r="A104" s="217"/>
      <c r="B104" s="218"/>
      <c r="C104" s="221"/>
      <c r="D104" s="216"/>
      <c r="E104" s="216"/>
      <c r="F104" s="216"/>
      <c r="G104" s="207"/>
      <c r="H104" s="208"/>
      <c r="I104" s="216"/>
    </row>
    <row r="105" spans="1:10" s="199" customFormat="1" ht="15" hidden="1" outlineLevel="1">
      <c r="A105" s="212">
        <v>42346</v>
      </c>
      <c r="B105" s="213" t="s">
        <v>752</v>
      </c>
      <c r="C105" s="220" t="s">
        <v>87</v>
      </c>
      <c r="D105" s="215" t="s">
        <v>753</v>
      </c>
      <c r="E105" s="215"/>
      <c r="F105" s="215"/>
      <c r="G105" s="222"/>
      <c r="H105" s="206">
        <v>0</v>
      </c>
      <c r="I105" s="216"/>
      <c r="J105" s="199" t="s">
        <v>750</v>
      </c>
    </row>
    <row r="106" spans="1:9" s="199" customFormat="1" ht="15" hidden="1" outlineLevel="1">
      <c r="A106" s="217"/>
      <c r="B106" s="218"/>
      <c r="C106" s="221"/>
      <c r="D106" s="216"/>
      <c r="E106" s="216"/>
      <c r="F106" s="216"/>
      <c r="G106" s="207" t="s">
        <v>755</v>
      </c>
      <c r="H106" s="208">
        <f>SUM(H105)</f>
        <v>0</v>
      </c>
      <c r="I106" s="216"/>
    </row>
    <row r="107" spans="1:9" s="199" customFormat="1" ht="15" hidden="1" outlineLevel="1">
      <c r="A107" s="217"/>
      <c r="B107" s="218"/>
      <c r="C107" s="221"/>
      <c r="D107" s="216"/>
      <c r="E107" s="216"/>
      <c r="F107" s="216"/>
      <c r="G107" s="207"/>
      <c r="H107" s="208"/>
      <c r="I107" s="216"/>
    </row>
    <row r="108" spans="1:10" s="199" customFormat="1" ht="15" hidden="1" outlineLevel="1">
      <c r="A108" s="212">
        <v>42019</v>
      </c>
      <c r="B108" s="213" t="s">
        <v>752</v>
      </c>
      <c r="C108" s="220" t="s">
        <v>83</v>
      </c>
      <c r="D108" s="215" t="s">
        <v>757</v>
      </c>
      <c r="E108" s="215"/>
      <c r="F108" s="215"/>
      <c r="G108" s="222"/>
      <c r="H108" s="206">
        <v>0</v>
      </c>
      <c r="I108" s="216"/>
      <c r="J108" s="199" t="s">
        <v>85</v>
      </c>
    </row>
    <row r="109" spans="1:9" s="199" customFormat="1" ht="15" hidden="1" outlineLevel="1">
      <c r="A109" s="217"/>
      <c r="B109" s="218"/>
      <c r="C109" s="221"/>
      <c r="D109" s="216"/>
      <c r="E109" s="216"/>
      <c r="F109" s="216"/>
      <c r="G109" s="207" t="s">
        <v>758</v>
      </c>
      <c r="H109" s="208">
        <f>SUM(H108)</f>
        <v>0</v>
      </c>
      <c r="I109" s="216"/>
    </row>
    <row r="110" spans="1:9" s="199" customFormat="1" ht="15" hidden="1" outlineLevel="1">
      <c r="A110" s="217"/>
      <c r="B110" s="218"/>
      <c r="C110" s="221"/>
      <c r="D110" s="216"/>
      <c r="E110" s="216"/>
      <c r="F110" s="216"/>
      <c r="G110" s="207"/>
      <c r="H110" s="208"/>
      <c r="I110" s="216"/>
    </row>
    <row r="111" spans="1:9" s="199" customFormat="1" ht="15" hidden="1" outlineLevel="1">
      <c r="A111" s="223"/>
      <c r="B111" s="218"/>
      <c r="C111" s="219"/>
      <c r="D111" s="216"/>
      <c r="E111" s="216"/>
      <c r="F111" s="216"/>
      <c r="G111" s="207" t="s">
        <v>756</v>
      </c>
      <c r="H111" s="224">
        <f>H100+H106+H103+H109</f>
        <v>0</v>
      </c>
      <c r="I111" s="216"/>
    </row>
    <row r="112" spans="1:9" s="2" customFormat="1" ht="15" collapsed="1">
      <c r="A112" s="265"/>
      <c r="B112" s="262"/>
      <c r="C112" s="270"/>
      <c r="D112" s="193"/>
      <c r="E112" s="193"/>
      <c r="F112" s="193"/>
      <c r="G112" s="201"/>
      <c r="H112" s="269"/>
      <c r="I112" s="193"/>
    </row>
    <row r="113" spans="1:10" s="2" customFormat="1" ht="15">
      <c r="A113" s="182">
        <v>42866</v>
      </c>
      <c r="B113" s="183" t="s">
        <v>687</v>
      </c>
      <c r="C113" s="196" t="s">
        <v>1631</v>
      </c>
      <c r="D113" s="184" t="s">
        <v>1635</v>
      </c>
      <c r="E113" s="184"/>
      <c r="F113" s="184"/>
      <c r="G113" s="185"/>
      <c r="H113" s="171">
        <v>80000</v>
      </c>
      <c r="I113" s="193"/>
      <c r="J113" s="2" t="s">
        <v>1634</v>
      </c>
    </row>
    <row r="114" spans="1:9" s="2" customFormat="1" ht="15">
      <c r="A114" s="188"/>
      <c r="B114" s="262"/>
      <c r="C114" s="271"/>
      <c r="D114" s="193"/>
      <c r="E114" s="193"/>
      <c r="F114" s="193"/>
      <c r="G114" s="201" t="s">
        <v>1633</v>
      </c>
      <c r="H114" s="177">
        <f>SUM(H113)</f>
        <v>80000</v>
      </c>
      <c r="I114" s="193"/>
    </row>
    <row r="115" spans="1:9" s="2" customFormat="1" ht="15">
      <c r="A115" s="265"/>
      <c r="B115" s="262"/>
      <c r="C115" s="270"/>
      <c r="D115" s="193"/>
      <c r="E115" s="193"/>
      <c r="F115" s="193"/>
      <c r="G115" s="201"/>
      <c r="H115" s="269"/>
      <c r="I115" s="193"/>
    </row>
    <row r="116" spans="1:10" s="199" customFormat="1" ht="15" hidden="1" outlineLevel="1">
      <c r="A116" s="225">
        <v>42257</v>
      </c>
      <c r="B116" s="218" t="s">
        <v>687</v>
      </c>
      <c r="C116" s="219">
        <v>1970</v>
      </c>
      <c r="D116" s="216" t="s">
        <v>727</v>
      </c>
      <c r="E116" s="216"/>
      <c r="F116" s="216"/>
      <c r="G116" s="216"/>
      <c r="H116" s="208">
        <v>0</v>
      </c>
      <c r="I116" s="216"/>
      <c r="J116" s="199" t="s">
        <v>728</v>
      </c>
    </row>
    <row r="117" spans="1:10" s="199" customFormat="1" ht="15" hidden="1" outlineLevel="1">
      <c r="A117" s="225">
        <v>42346</v>
      </c>
      <c r="B117" s="218" t="s">
        <v>687</v>
      </c>
      <c r="C117" s="219">
        <v>1690</v>
      </c>
      <c r="D117" s="216" t="s">
        <v>751</v>
      </c>
      <c r="E117" s="216"/>
      <c r="F117" s="216"/>
      <c r="G117" s="216"/>
      <c r="H117" s="208">
        <v>0</v>
      </c>
      <c r="I117" s="216"/>
      <c r="J117" s="199" t="s">
        <v>750</v>
      </c>
    </row>
    <row r="118" spans="1:10" s="2" customFormat="1" ht="15" collapsed="1">
      <c r="A118" s="182">
        <v>42901</v>
      </c>
      <c r="B118" s="183" t="s">
        <v>687</v>
      </c>
      <c r="C118" s="192">
        <v>1690</v>
      </c>
      <c r="D118" s="184" t="s">
        <v>1258</v>
      </c>
      <c r="E118" s="184"/>
      <c r="F118" s="184"/>
      <c r="G118" s="184"/>
      <c r="H118" s="171">
        <v>1621677</v>
      </c>
      <c r="I118" s="193"/>
      <c r="J118" s="2" t="s">
        <v>463</v>
      </c>
    </row>
    <row r="119" spans="1:9" s="2" customFormat="1" ht="15">
      <c r="A119" s="190"/>
      <c r="B119" s="262"/>
      <c r="C119" s="270"/>
      <c r="D119" s="193"/>
      <c r="E119" s="193"/>
      <c r="F119" s="193"/>
      <c r="G119" s="201" t="s">
        <v>688</v>
      </c>
      <c r="H119" s="269">
        <f>SUM(H116:H118)</f>
        <v>1621677</v>
      </c>
      <c r="I119" s="193"/>
    </row>
    <row r="120" spans="1:9" s="2" customFormat="1" ht="15">
      <c r="A120" s="190"/>
      <c r="B120" s="262"/>
      <c r="C120" s="270"/>
      <c r="D120" s="193"/>
      <c r="E120" s="193"/>
      <c r="F120" s="193"/>
      <c r="G120" s="201"/>
      <c r="H120" s="269"/>
      <c r="I120" s="193"/>
    </row>
    <row r="121" spans="1:10" s="2" customFormat="1" ht="15">
      <c r="A121" s="261">
        <v>42866</v>
      </c>
      <c r="B121" s="262" t="s">
        <v>687</v>
      </c>
      <c r="C121" s="271" t="s">
        <v>87</v>
      </c>
      <c r="D121" s="193" t="s">
        <v>1636</v>
      </c>
      <c r="E121" s="193"/>
      <c r="F121" s="193"/>
      <c r="G121" s="201"/>
      <c r="H121" s="177">
        <v>-80000</v>
      </c>
      <c r="I121" s="193"/>
      <c r="J121" s="2" t="s">
        <v>1632</v>
      </c>
    </row>
    <row r="122" spans="1:10" s="2" customFormat="1" ht="15" outlineLevel="1">
      <c r="A122" s="182">
        <v>42851</v>
      </c>
      <c r="B122" s="183" t="s">
        <v>687</v>
      </c>
      <c r="C122" s="196" t="s">
        <v>66</v>
      </c>
      <c r="D122" s="184" t="s">
        <v>1700</v>
      </c>
      <c r="E122" s="184"/>
      <c r="F122" s="184"/>
      <c r="G122" s="185"/>
      <c r="H122" s="171">
        <v>912000</v>
      </c>
      <c r="I122" s="193"/>
      <c r="J122" s="2" t="s">
        <v>85</v>
      </c>
    </row>
    <row r="123" spans="1:9" s="2" customFormat="1" ht="15">
      <c r="A123" s="188"/>
      <c r="B123" s="262"/>
      <c r="C123" s="271"/>
      <c r="D123" s="193"/>
      <c r="E123" s="193"/>
      <c r="F123" s="193"/>
      <c r="G123" s="201" t="s">
        <v>720</v>
      </c>
      <c r="H123" s="177">
        <f>SUM(H121:H122)</f>
        <v>832000</v>
      </c>
      <c r="I123" s="193"/>
    </row>
    <row r="124" spans="1:9" s="199" customFormat="1" ht="15" hidden="1" outlineLevel="1">
      <c r="A124" s="217"/>
      <c r="B124" s="218"/>
      <c r="C124" s="221"/>
      <c r="D124" s="216"/>
      <c r="E124" s="216"/>
      <c r="F124" s="216"/>
      <c r="G124" s="207"/>
      <c r="H124" s="208"/>
      <c r="I124" s="216"/>
    </row>
    <row r="125" spans="1:10" s="199" customFormat="1" ht="15" hidden="1" outlineLevel="1">
      <c r="A125" s="212">
        <v>42537</v>
      </c>
      <c r="B125" s="213" t="s">
        <v>687</v>
      </c>
      <c r="C125" s="220" t="s">
        <v>83</v>
      </c>
      <c r="D125" s="215" t="s">
        <v>1193</v>
      </c>
      <c r="E125" s="215"/>
      <c r="F125" s="215"/>
      <c r="G125" s="222"/>
      <c r="H125" s="206">
        <v>0</v>
      </c>
      <c r="I125" s="216"/>
      <c r="J125" s="199" t="s">
        <v>75</v>
      </c>
    </row>
    <row r="126" spans="1:9" s="199" customFormat="1" ht="15" hidden="1" outlineLevel="1">
      <c r="A126" s="217"/>
      <c r="B126" s="218"/>
      <c r="C126" s="221"/>
      <c r="D126" s="216"/>
      <c r="E126" s="216"/>
      <c r="F126" s="216"/>
      <c r="G126" s="207" t="s">
        <v>1192</v>
      </c>
      <c r="H126" s="208">
        <f>SUM(H125)</f>
        <v>0</v>
      </c>
      <c r="I126" s="216"/>
    </row>
    <row r="127" spans="1:9" s="2" customFormat="1" ht="15" collapsed="1">
      <c r="A127" s="188"/>
      <c r="B127" s="262"/>
      <c r="C127" s="271"/>
      <c r="D127" s="193"/>
      <c r="E127" s="193"/>
      <c r="F127" s="193"/>
      <c r="G127" s="201"/>
      <c r="H127" s="177"/>
      <c r="I127" s="193"/>
    </row>
    <row r="128" spans="1:9" s="2" customFormat="1" ht="15">
      <c r="A128" s="265"/>
      <c r="B128" s="262"/>
      <c r="C128" s="270"/>
      <c r="D128" s="193"/>
      <c r="E128" s="193"/>
      <c r="F128" s="193"/>
      <c r="G128" s="201" t="s">
        <v>721</v>
      </c>
      <c r="H128" s="269">
        <f>H114+H119+H123+H126</f>
        <v>2533677</v>
      </c>
      <c r="I128" s="193"/>
    </row>
    <row r="129" spans="1:9" s="200" customFormat="1" ht="15" hidden="1" outlineLevel="1">
      <c r="A129" s="227"/>
      <c r="B129" s="218"/>
      <c r="C129" s="219"/>
      <c r="D129" s="216"/>
      <c r="E129" s="216"/>
      <c r="F129" s="216"/>
      <c r="G129" s="207"/>
      <c r="H129" s="208"/>
      <c r="I129" s="216"/>
    </row>
    <row r="130" spans="1:10" s="200" customFormat="1" ht="15" hidden="1" outlineLevel="1">
      <c r="A130" s="225">
        <v>42370</v>
      </c>
      <c r="B130" s="218" t="s">
        <v>1027</v>
      </c>
      <c r="C130" s="221" t="s">
        <v>761</v>
      </c>
      <c r="D130" s="216" t="s">
        <v>1030</v>
      </c>
      <c r="E130" s="216"/>
      <c r="F130" s="216"/>
      <c r="G130" s="207"/>
      <c r="H130" s="208">
        <v>0</v>
      </c>
      <c r="I130" s="216"/>
      <c r="J130" s="200" t="s">
        <v>192</v>
      </c>
    </row>
    <row r="131" spans="1:10" s="200" customFormat="1" ht="15" hidden="1" outlineLevel="1">
      <c r="A131" s="225">
        <v>42370</v>
      </c>
      <c r="B131" s="218" t="s">
        <v>1027</v>
      </c>
      <c r="C131" s="221" t="s">
        <v>761</v>
      </c>
      <c r="D131" s="216" t="s">
        <v>1031</v>
      </c>
      <c r="E131" s="216"/>
      <c r="F131" s="216"/>
      <c r="G131" s="207"/>
      <c r="H131" s="208">
        <v>0</v>
      </c>
      <c r="I131" s="216"/>
      <c r="J131" s="200" t="s">
        <v>192</v>
      </c>
    </row>
    <row r="132" spans="1:10" s="200" customFormat="1" ht="15" hidden="1" outlineLevel="1">
      <c r="A132" s="225">
        <v>42370</v>
      </c>
      <c r="B132" s="218" t="s">
        <v>1027</v>
      </c>
      <c r="C132" s="221" t="s">
        <v>761</v>
      </c>
      <c r="D132" s="216" t="s">
        <v>1034</v>
      </c>
      <c r="E132" s="216"/>
      <c r="F132" s="216"/>
      <c r="G132" s="207"/>
      <c r="H132" s="208">
        <v>0</v>
      </c>
      <c r="I132" s="216"/>
      <c r="J132" s="200" t="s">
        <v>192</v>
      </c>
    </row>
    <row r="133" spans="1:9" s="200" customFormat="1" ht="15" hidden="1" outlineLevel="1">
      <c r="A133" s="225"/>
      <c r="B133" s="218"/>
      <c r="C133" s="221"/>
      <c r="D133" s="216"/>
      <c r="E133" s="216"/>
      <c r="F133" s="216"/>
      <c r="G133" s="207" t="s">
        <v>1028</v>
      </c>
      <c r="H133" s="208">
        <f>SUM(H130:H132)</f>
        <v>0</v>
      </c>
      <c r="I133" s="216"/>
    </row>
    <row r="134" spans="1:9" s="178" customFormat="1" ht="15" collapsed="1">
      <c r="A134" s="284"/>
      <c r="B134" s="262"/>
      <c r="C134" s="270"/>
      <c r="D134" s="193"/>
      <c r="E134" s="193"/>
      <c r="F134" s="193"/>
      <c r="G134" s="201"/>
      <c r="H134" s="177"/>
      <c r="I134" s="193"/>
    </row>
    <row r="135" spans="1:10" s="199" customFormat="1" ht="15" hidden="1" outlineLevel="1">
      <c r="A135" s="225">
        <v>42824</v>
      </c>
      <c r="B135" s="218" t="s">
        <v>773</v>
      </c>
      <c r="C135" s="219">
        <v>1690</v>
      </c>
      <c r="D135" s="216" t="s">
        <v>1531</v>
      </c>
      <c r="E135" s="216"/>
      <c r="F135" s="216"/>
      <c r="G135" s="216"/>
      <c r="H135" s="208">
        <v>0</v>
      </c>
      <c r="I135" s="216"/>
      <c r="J135" s="199" t="s">
        <v>1234</v>
      </c>
    </row>
    <row r="136" spans="1:10" s="2" customFormat="1" ht="15" collapsed="1">
      <c r="A136" s="182">
        <v>42901</v>
      </c>
      <c r="B136" s="183" t="s">
        <v>773</v>
      </c>
      <c r="C136" s="192">
        <v>1690</v>
      </c>
      <c r="D136" s="184" t="s">
        <v>1601</v>
      </c>
      <c r="E136" s="184"/>
      <c r="F136" s="184"/>
      <c r="G136" s="184"/>
      <c r="H136" s="171">
        <v>503625</v>
      </c>
      <c r="I136" s="193"/>
      <c r="J136" s="178" t="s">
        <v>463</v>
      </c>
    </row>
    <row r="137" spans="1:9" s="2" customFormat="1" ht="15">
      <c r="A137" s="190"/>
      <c r="B137" s="262"/>
      <c r="C137" s="270"/>
      <c r="D137" s="193"/>
      <c r="E137" s="193"/>
      <c r="F137" s="193"/>
      <c r="G137" s="201" t="s">
        <v>1355</v>
      </c>
      <c r="H137" s="269">
        <f>SUM(H135:H136)</f>
        <v>503625</v>
      </c>
      <c r="I137" s="193"/>
    </row>
    <row r="138" spans="1:9" s="199" customFormat="1" ht="15" hidden="1" outlineLevel="1">
      <c r="A138" s="226"/>
      <c r="B138" s="218"/>
      <c r="C138" s="219"/>
      <c r="D138" s="216"/>
      <c r="E138" s="216"/>
      <c r="F138" s="216"/>
      <c r="G138" s="207"/>
      <c r="H138" s="224"/>
      <c r="I138" s="216"/>
    </row>
    <row r="139" spans="1:10" s="199" customFormat="1" ht="15" hidden="1" outlineLevel="1">
      <c r="A139" s="212">
        <v>42710</v>
      </c>
      <c r="B139" s="213" t="s">
        <v>773</v>
      </c>
      <c r="C139" s="214">
        <v>5912</v>
      </c>
      <c r="D139" s="215" t="s">
        <v>1301</v>
      </c>
      <c r="E139" s="215"/>
      <c r="F139" s="215"/>
      <c r="G139" s="215"/>
      <c r="H139" s="206">
        <v>0</v>
      </c>
      <c r="I139" s="216"/>
      <c r="J139" s="199" t="s">
        <v>750</v>
      </c>
    </row>
    <row r="140" spans="1:9" s="199" customFormat="1" ht="15" hidden="1" outlineLevel="1">
      <c r="A140" s="226"/>
      <c r="B140" s="218"/>
      <c r="C140" s="219"/>
      <c r="D140" s="216"/>
      <c r="E140" s="216"/>
      <c r="F140" s="216"/>
      <c r="G140" s="207" t="s">
        <v>1356</v>
      </c>
      <c r="H140" s="224">
        <f>SUM(H139)</f>
        <v>0</v>
      </c>
      <c r="I140" s="216"/>
    </row>
    <row r="141" spans="1:9" s="2" customFormat="1" ht="15" collapsed="1">
      <c r="A141" s="190"/>
      <c r="B141" s="262"/>
      <c r="C141" s="270"/>
      <c r="D141" s="193"/>
      <c r="E141" s="193"/>
      <c r="F141" s="193"/>
      <c r="G141" s="201"/>
      <c r="H141" s="269"/>
      <c r="I141" s="193"/>
    </row>
    <row r="142" spans="1:9" s="2" customFormat="1" ht="15">
      <c r="A142" s="190"/>
      <c r="B142" s="262"/>
      <c r="C142" s="270"/>
      <c r="D142" s="193"/>
      <c r="E142" s="193"/>
      <c r="F142" s="193"/>
      <c r="G142" s="201" t="s">
        <v>1302</v>
      </c>
      <c r="H142" s="269">
        <f>H137+H140</f>
        <v>503625</v>
      </c>
      <c r="I142" s="193"/>
    </row>
    <row r="143" spans="1:9" s="199" customFormat="1" ht="15" hidden="1" outlineLevel="1">
      <c r="A143" s="226"/>
      <c r="B143" s="218"/>
      <c r="C143" s="219"/>
      <c r="D143" s="216"/>
      <c r="E143" s="216"/>
      <c r="F143" s="216"/>
      <c r="G143" s="207"/>
      <c r="H143" s="224"/>
      <c r="I143" s="216"/>
    </row>
    <row r="144" spans="1:10" s="199" customFormat="1" ht="15" hidden="1" outlineLevel="1">
      <c r="A144" s="212">
        <v>42460</v>
      </c>
      <c r="B144" s="213" t="s">
        <v>1159</v>
      </c>
      <c r="C144" s="214">
        <v>4990</v>
      </c>
      <c r="D144" s="215" t="s">
        <v>1160</v>
      </c>
      <c r="E144" s="215"/>
      <c r="F144" s="215"/>
      <c r="G144" s="215"/>
      <c r="H144" s="206">
        <v>0</v>
      </c>
      <c r="I144" s="216"/>
      <c r="J144" s="199" t="s">
        <v>749</v>
      </c>
    </row>
    <row r="145" spans="1:9" s="199" customFormat="1" ht="15" hidden="1" outlineLevel="1">
      <c r="A145" s="226"/>
      <c r="B145" s="218"/>
      <c r="C145" s="219"/>
      <c r="D145" s="216"/>
      <c r="E145" s="216"/>
      <c r="F145" s="216"/>
      <c r="G145" s="207" t="s">
        <v>1161</v>
      </c>
      <c r="H145" s="224">
        <f>SUM(H144)</f>
        <v>0</v>
      </c>
      <c r="I145" s="216"/>
    </row>
    <row r="146" spans="1:9" s="199" customFormat="1" ht="15" hidden="1" outlineLevel="1">
      <c r="A146" s="217"/>
      <c r="B146" s="218"/>
      <c r="C146" s="221"/>
      <c r="D146" s="216"/>
      <c r="E146" s="216"/>
      <c r="F146" s="216"/>
      <c r="G146" s="216"/>
      <c r="H146" s="208" t="s">
        <v>1</v>
      </c>
      <c r="I146" s="216"/>
    </row>
    <row r="147" spans="1:10" s="199" customFormat="1" ht="15" hidden="1" outlineLevel="1">
      <c r="A147" s="212">
        <v>42346</v>
      </c>
      <c r="B147" s="213" t="s">
        <v>111</v>
      </c>
      <c r="C147" s="214">
        <v>1690</v>
      </c>
      <c r="D147" s="215" t="s">
        <v>774</v>
      </c>
      <c r="E147" s="215"/>
      <c r="F147" s="215"/>
      <c r="G147" s="215"/>
      <c r="H147" s="206">
        <v>0</v>
      </c>
      <c r="I147" s="216"/>
      <c r="J147" s="199" t="s">
        <v>155</v>
      </c>
    </row>
    <row r="148" spans="1:9" s="199" customFormat="1" ht="15" hidden="1" outlineLevel="1">
      <c r="A148" s="226"/>
      <c r="B148" s="218"/>
      <c r="C148" s="219"/>
      <c r="D148" s="216"/>
      <c r="E148" s="216"/>
      <c r="F148" s="216"/>
      <c r="G148" s="207" t="s">
        <v>113</v>
      </c>
      <c r="H148" s="224">
        <f>SUM(H147)</f>
        <v>0</v>
      </c>
      <c r="I148" s="216"/>
    </row>
    <row r="149" spans="1:9" s="199" customFormat="1" ht="15" hidden="1" outlineLevel="1">
      <c r="A149" s="226"/>
      <c r="B149" s="218"/>
      <c r="C149" s="219"/>
      <c r="D149" s="216"/>
      <c r="E149" s="216"/>
      <c r="F149" s="216"/>
      <c r="G149" s="207"/>
      <c r="H149" s="224"/>
      <c r="I149" s="216"/>
    </row>
    <row r="150" spans="1:10" s="199" customFormat="1" ht="15" hidden="1" outlineLevel="1">
      <c r="A150" s="212">
        <v>42306</v>
      </c>
      <c r="B150" s="213" t="s">
        <v>111</v>
      </c>
      <c r="C150" s="214">
        <v>4660</v>
      </c>
      <c r="D150" s="215" t="s">
        <v>734</v>
      </c>
      <c r="E150" s="215"/>
      <c r="F150" s="215"/>
      <c r="G150" s="215"/>
      <c r="H150" s="206">
        <v>0</v>
      </c>
      <c r="I150" s="216"/>
      <c r="J150" s="199" t="s">
        <v>109</v>
      </c>
    </row>
    <row r="151" spans="1:9" s="199" customFormat="1" ht="15" hidden="1" outlineLevel="1">
      <c r="A151" s="226"/>
      <c r="B151" s="218"/>
      <c r="C151" s="219"/>
      <c r="D151" s="216"/>
      <c r="E151" s="216"/>
      <c r="F151" s="216"/>
      <c r="G151" s="207" t="s">
        <v>767</v>
      </c>
      <c r="H151" s="224">
        <f>SUM(H150)</f>
        <v>0</v>
      </c>
      <c r="I151" s="216"/>
    </row>
    <row r="152" spans="1:9" s="199" customFormat="1" ht="15" hidden="1" outlineLevel="1">
      <c r="A152" s="226"/>
      <c r="B152" s="218"/>
      <c r="C152" s="219"/>
      <c r="D152" s="216"/>
      <c r="E152" s="216"/>
      <c r="F152" s="216"/>
      <c r="G152" s="207"/>
      <c r="H152" s="224"/>
      <c r="I152" s="216"/>
    </row>
    <row r="153" spans="1:9" s="199" customFormat="1" ht="15" hidden="1" outlineLevel="1">
      <c r="A153" s="226"/>
      <c r="B153" s="218"/>
      <c r="C153" s="219"/>
      <c r="D153" s="216"/>
      <c r="E153" s="216"/>
      <c r="F153" s="216"/>
      <c r="G153" s="207" t="s">
        <v>735</v>
      </c>
      <c r="H153" s="224">
        <f>H148+H151</f>
        <v>0</v>
      </c>
      <c r="I153" s="216"/>
    </row>
    <row r="154" spans="1:9" s="199" customFormat="1" ht="15" hidden="1" outlineLevel="1">
      <c r="A154" s="226"/>
      <c r="B154" s="218"/>
      <c r="C154" s="219"/>
      <c r="D154" s="216"/>
      <c r="E154" s="216"/>
      <c r="F154" s="216"/>
      <c r="G154" s="207"/>
      <c r="H154" s="224"/>
      <c r="I154" s="216"/>
    </row>
    <row r="155" spans="1:10" s="199" customFormat="1" ht="15" hidden="1" outlineLevel="1">
      <c r="A155" s="228">
        <v>42124</v>
      </c>
      <c r="B155" s="213" t="s">
        <v>149</v>
      </c>
      <c r="C155" s="214">
        <v>1690</v>
      </c>
      <c r="D155" s="215" t="s">
        <v>150</v>
      </c>
      <c r="E155" s="215"/>
      <c r="F155" s="215"/>
      <c r="G155" s="222"/>
      <c r="H155" s="206">
        <v>0</v>
      </c>
      <c r="I155" s="216"/>
      <c r="J155" s="199" t="s">
        <v>104</v>
      </c>
    </row>
    <row r="156" spans="1:9" s="199" customFormat="1" ht="15" hidden="1" outlineLevel="1">
      <c r="A156" s="223"/>
      <c r="B156" s="218"/>
      <c r="C156" s="219"/>
      <c r="D156" s="216"/>
      <c r="E156" s="216"/>
      <c r="F156" s="216"/>
      <c r="G156" s="207" t="s">
        <v>151</v>
      </c>
      <c r="H156" s="224">
        <f>SUM(H155)</f>
        <v>0</v>
      </c>
      <c r="I156" s="216"/>
    </row>
    <row r="157" spans="1:9" s="199" customFormat="1" ht="15" hidden="1" outlineLevel="1">
      <c r="A157" s="223"/>
      <c r="B157" s="218"/>
      <c r="C157" s="219"/>
      <c r="D157" s="216"/>
      <c r="E157" s="216"/>
      <c r="F157" s="216"/>
      <c r="G157" s="207"/>
      <c r="H157" s="224"/>
      <c r="I157" s="216"/>
    </row>
    <row r="158" spans="1:10" s="199" customFormat="1" ht="15" hidden="1" outlineLevel="1">
      <c r="A158" s="228">
        <v>42370</v>
      </c>
      <c r="B158" s="213" t="s">
        <v>149</v>
      </c>
      <c r="C158" s="214">
        <v>4430</v>
      </c>
      <c r="D158" s="215" t="s">
        <v>268</v>
      </c>
      <c r="E158" s="215"/>
      <c r="F158" s="215"/>
      <c r="G158" s="222"/>
      <c r="H158" s="206">
        <v>0</v>
      </c>
      <c r="I158" s="216"/>
      <c r="J158" s="199" t="s">
        <v>192</v>
      </c>
    </row>
    <row r="159" spans="1:9" s="199" customFormat="1" ht="15" hidden="1" outlineLevel="1">
      <c r="A159" s="223"/>
      <c r="B159" s="218"/>
      <c r="C159" s="219"/>
      <c r="D159" s="216"/>
      <c r="E159" s="216"/>
      <c r="F159" s="216"/>
      <c r="G159" s="207" t="s">
        <v>268</v>
      </c>
      <c r="H159" s="224">
        <f>SUM(H158)</f>
        <v>0</v>
      </c>
      <c r="I159" s="216"/>
    </row>
    <row r="160" spans="1:9" s="199" customFormat="1" ht="15" hidden="1" outlineLevel="1">
      <c r="A160" s="223"/>
      <c r="B160" s="218"/>
      <c r="C160" s="219"/>
      <c r="D160" s="216"/>
      <c r="E160" s="216"/>
      <c r="F160" s="216"/>
      <c r="G160" s="207"/>
      <c r="H160" s="224"/>
      <c r="I160" s="216"/>
    </row>
    <row r="161" spans="1:9" s="199" customFormat="1" ht="15" hidden="1" outlineLevel="1">
      <c r="A161" s="223"/>
      <c r="B161" s="218"/>
      <c r="C161" s="219"/>
      <c r="D161" s="216"/>
      <c r="E161" s="216"/>
      <c r="F161" s="216"/>
      <c r="G161" s="207" t="s">
        <v>269</v>
      </c>
      <c r="H161" s="224">
        <f>H156+H159</f>
        <v>0</v>
      </c>
      <c r="I161" s="216"/>
    </row>
    <row r="162" spans="1:9" s="199" customFormat="1" ht="15" hidden="1" outlineLevel="1">
      <c r="A162" s="223"/>
      <c r="B162" s="218"/>
      <c r="C162" s="219"/>
      <c r="D162" s="216"/>
      <c r="E162" s="216"/>
      <c r="F162" s="216"/>
      <c r="G162" s="207"/>
      <c r="H162" s="224"/>
      <c r="I162" s="216"/>
    </row>
    <row r="163" spans="1:10" s="199" customFormat="1" ht="15" hidden="1" outlineLevel="1">
      <c r="A163" s="228">
        <v>42370</v>
      </c>
      <c r="B163" s="213" t="s">
        <v>272</v>
      </c>
      <c r="C163" s="214">
        <v>4430</v>
      </c>
      <c r="D163" s="215" t="s">
        <v>273</v>
      </c>
      <c r="E163" s="215"/>
      <c r="F163" s="215"/>
      <c r="G163" s="222"/>
      <c r="H163" s="206">
        <v>0</v>
      </c>
      <c r="I163" s="216"/>
      <c r="J163" s="199" t="s">
        <v>192</v>
      </c>
    </row>
    <row r="164" spans="1:9" s="199" customFormat="1" ht="15" hidden="1" outlineLevel="1">
      <c r="A164" s="223"/>
      <c r="B164" s="218"/>
      <c r="C164" s="219"/>
      <c r="D164" s="216"/>
      <c r="E164" s="216"/>
      <c r="F164" s="216"/>
      <c r="G164" s="207" t="s">
        <v>274</v>
      </c>
      <c r="H164" s="224">
        <f>SUM(H163)</f>
        <v>0</v>
      </c>
      <c r="I164" s="216"/>
    </row>
    <row r="165" spans="1:9" s="2" customFormat="1" ht="15" collapsed="1">
      <c r="A165" s="265"/>
      <c r="B165" s="262"/>
      <c r="C165" s="270"/>
      <c r="D165" s="193"/>
      <c r="E165" s="193"/>
      <c r="F165" s="193"/>
      <c r="G165" s="201"/>
      <c r="H165" s="269"/>
      <c r="I165" s="193"/>
    </row>
    <row r="166" spans="1:10" s="2" customFormat="1" ht="15">
      <c r="A166" s="194">
        <v>42736</v>
      </c>
      <c r="B166" s="183" t="s">
        <v>272</v>
      </c>
      <c r="C166" s="192">
        <v>4993</v>
      </c>
      <c r="D166" s="184" t="s">
        <v>1637</v>
      </c>
      <c r="E166" s="184"/>
      <c r="F166" s="184"/>
      <c r="G166" s="185"/>
      <c r="H166" s="171">
        <v>-73000</v>
      </c>
      <c r="I166" s="193"/>
      <c r="J166" s="2" t="s">
        <v>192</v>
      </c>
    </row>
    <row r="167" spans="1:9" s="2" customFormat="1" ht="15">
      <c r="A167" s="265"/>
      <c r="B167" s="262"/>
      <c r="C167" s="270"/>
      <c r="D167" s="193"/>
      <c r="E167" s="193"/>
      <c r="F167" s="193"/>
      <c r="G167" s="201" t="s">
        <v>1638</v>
      </c>
      <c r="H167" s="269">
        <f>SUM(H166)</f>
        <v>-73000</v>
      </c>
      <c r="I167" s="193"/>
    </row>
    <row r="168" spans="1:9" s="2" customFormat="1" ht="15">
      <c r="A168" s="265"/>
      <c r="B168" s="262"/>
      <c r="C168" s="270"/>
      <c r="D168" s="193"/>
      <c r="E168" s="193"/>
      <c r="F168" s="193"/>
      <c r="G168" s="201"/>
      <c r="H168" s="269"/>
      <c r="I168" s="193"/>
    </row>
    <row r="169" spans="1:9" s="2" customFormat="1" ht="15">
      <c r="A169" s="265"/>
      <c r="B169" s="262"/>
      <c r="C169" s="270"/>
      <c r="D169" s="193"/>
      <c r="E169" s="193"/>
      <c r="F169" s="193"/>
      <c r="G169" s="201" t="s">
        <v>1639</v>
      </c>
      <c r="H169" s="269">
        <f>H164+H167</f>
        <v>-73000</v>
      </c>
      <c r="I169" s="193"/>
    </row>
    <row r="170" spans="1:9" s="199" customFormat="1" ht="15" hidden="1" outlineLevel="1">
      <c r="A170" s="223"/>
      <c r="B170" s="218"/>
      <c r="C170" s="219"/>
      <c r="D170" s="216"/>
      <c r="E170" s="216"/>
      <c r="F170" s="216"/>
      <c r="G170" s="207"/>
      <c r="H170" s="224"/>
      <c r="I170" s="216"/>
    </row>
    <row r="171" spans="1:10" s="199" customFormat="1" ht="15" hidden="1" outlineLevel="1">
      <c r="A171" s="228">
        <v>42710</v>
      </c>
      <c r="B171" s="213" t="s">
        <v>775</v>
      </c>
      <c r="C171" s="214">
        <v>1690</v>
      </c>
      <c r="D171" s="215" t="s">
        <v>1303</v>
      </c>
      <c r="E171" s="215"/>
      <c r="F171" s="215"/>
      <c r="G171" s="222"/>
      <c r="H171" s="206">
        <v>0</v>
      </c>
      <c r="I171" s="216"/>
      <c r="J171" s="199" t="s">
        <v>750</v>
      </c>
    </row>
    <row r="172" spans="1:9" s="199" customFormat="1" ht="15" hidden="1" outlineLevel="1">
      <c r="A172" s="223"/>
      <c r="B172" s="218"/>
      <c r="C172" s="219"/>
      <c r="D172" s="216"/>
      <c r="E172" s="216"/>
      <c r="F172" s="216"/>
      <c r="G172" s="207" t="s">
        <v>776</v>
      </c>
      <c r="H172" s="224">
        <f>SUM(H171)</f>
        <v>0</v>
      </c>
      <c r="I172" s="216"/>
    </row>
    <row r="173" spans="1:9" s="2" customFormat="1" ht="15" collapsed="1">
      <c r="A173" s="265"/>
      <c r="B173" s="262"/>
      <c r="C173" s="270"/>
      <c r="D173" s="193"/>
      <c r="E173" s="193"/>
      <c r="F173" s="193"/>
      <c r="G173" s="201"/>
      <c r="H173" s="269"/>
      <c r="I173" s="193"/>
    </row>
    <row r="174" spans="1:10" s="2" customFormat="1" ht="15">
      <c r="A174" s="194">
        <v>42901</v>
      </c>
      <c r="B174" s="183" t="s">
        <v>270</v>
      </c>
      <c r="C174" s="192">
        <v>1690</v>
      </c>
      <c r="D174" s="184" t="s">
        <v>1259</v>
      </c>
      <c r="E174" s="184"/>
      <c r="F174" s="184"/>
      <c r="G174" s="185"/>
      <c r="H174" s="171">
        <v>84179</v>
      </c>
      <c r="I174" s="193"/>
      <c r="J174" s="2" t="s">
        <v>463</v>
      </c>
    </row>
    <row r="175" spans="1:9" s="2" customFormat="1" ht="15">
      <c r="A175" s="265"/>
      <c r="B175" s="262"/>
      <c r="C175" s="270"/>
      <c r="D175" s="193"/>
      <c r="E175" s="193"/>
      <c r="F175" s="193"/>
      <c r="G175" s="201" t="s">
        <v>689</v>
      </c>
      <c r="H175" s="269">
        <f>SUM(H174)</f>
        <v>84179</v>
      </c>
      <c r="I175" s="193"/>
    </row>
    <row r="176" spans="1:9" s="199" customFormat="1" ht="15" hidden="1" outlineLevel="1">
      <c r="A176" s="223"/>
      <c r="B176" s="218"/>
      <c r="C176" s="219"/>
      <c r="D176" s="216"/>
      <c r="E176" s="216"/>
      <c r="F176" s="216"/>
      <c r="G176" s="207"/>
      <c r="H176" s="224"/>
      <c r="I176" s="216"/>
    </row>
    <row r="177" spans="1:10" s="199" customFormat="1" ht="15" hidden="1" outlineLevel="1">
      <c r="A177" s="228">
        <v>42471</v>
      </c>
      <c r="B177" s="213" t="s">
        <v>270</v>
      </c>
      <c r="C177" s="214">
        <v>4660</v>
      </c>
      <c r="D177" s="215" t="s">
        <v>1309</v>
      </c>
      <c r="E177" s="215"/>
      <c r="F177" s="215"/>
      <c r="G177" s="222"/>
      <c r="H177" s="206">
        <v>0</v>
      </c>
      <c r="I177" s="216"/>
      <c r="J177" s="199" t="s">
        <v>1266</v>
      </c>
    </row>
    <row r="178" spans="1:9" s="199" customFormat="1" ht="15" hidden="1" outlineLevel="1">
      <c r="A178" s="223"/>
      <c r="B178" s="218"/>
      <c r="C178" s="219"/>
      <c r="D178" s="216"/>
      <c r="E178" s="216"/>
      <c r="F178" s="216"/>
      <c r="G178" s="207" t="s">
        <v>1474</v>
      </c>
      <c r="H178" s="224">
        <f>SUM(H177)</f>
        <v>0</v>
      </c>
      <c r="I178" s="216"/>
    </row>
    <row r="179" spans="1:9" s="199" customFormat="1" ht="15" hidden="1" outlineLevel="1">
      <c r="A179" s="223"/>
      <c r="B179" s="218"/>
      <c r="C179" s="219"/>
      <c r="D179" s="216"/>
      <c r="E179" s="216"/>
      <c r="F179" s="216"/>
      <c r="G179" s="207"/>
      <c r="H179" s="224"/>
      <c r="I179" s="216"/>
    </row>
    <row r="180" spans="1:10" s="199" customFormat="1" ht="15" hidden="1" outlineLevel="1">
      <c r="A180" s="228">
        <v>42005</v>
      </c>
      <c r="B180" s="213" t="s">
        <v>270</v>
      </c>
      <c r="C180" s="214">
        <v>4430</v>
      </c>
      <c r="D180" s="215" t="s">
        <v>271</v>
      </c>
      <c r="E180" s="215"/>
      <c r="F180" s="215"/>
      <c r="G180" s="222"/>
      <c r="H180" s="206">
        <v>0</v>
      </c>
      <c r="I180" s="216"/>
      <c r="J180" s="199" t="s">
        <v>192</v>
      </c>
    </row>
    <row r="181" spans="1:9" s="199" customFormat="1" ht="15" hidden="1" outlineLevel="1">
      <c r="A181" s="223"/>
      <c r="B181" s="218"/>
      <c r="C181" s="219"/>
      <c r="D181" s="216"/>
      <c r="E181" s="216"/>
      <c r="F181" s="216"/>
      <c r="G181" s="207" t="s">
        <v>271</v>
      </c>
      <c r="H181" s="224">
        <f>SUM(H180)</f>
        <v>0</v>
      </c>
      <c r="I181" s="216"/>
    </row>
    <row r="182" spans="1:9" s="2" customFormat="1" ht="15" collapsed="1">
      <c r="A182" s="265"/>
      <c r="B182" s="262"/>
      <c r="C182" s="270"/>
      <c r="D182" s="193"/>
      <c r="E182" s="193"/>
      <c r="F182" s="193"/>
      <c r="G182" s="201"/>
      <c r="H182" s="269"/>
      <c r="I182" s="193"/>
    </row>
    <row r="183" spans="1:9" s="2" customFormat="1" ht="15">
      <c r="A183" s="265"/>
      <c r="B183" s="262"/>
      <c r="C183" s="270"/>
      <c r="D183" s="193"/>
      <c r="E183" s="193"/>
      <c r="F183" s="193"/>
      <c r="G183" s="201" t="s">
        <v>690</v>
      </c>
      <c r="H183" s="269">
        <f>H175+H178+H181</f>
        <v>84179</v>
      </c>
      <c r="I183" s="193"/>
    </row>
    <row r="184" spans="1:9" s="199" customFormat="1" ht="15" hidden="1" outlineLevel="1">
      <c r="A184" s="223"/>
      <c r="B184" s="218"/>
      <c r="C184" s="219"/>
      <c r="D184" s="216"/>
      <c r="E184" s="216"/>
      <c r="F184" s="216"/>
      <c r="G184" s="207"/>
      <c r="H184" s="224"/>
      <c r="I184" s="216"/>
    </row>
    <row r="185" spans="1:10" s="199" customFormat="1" ht="15" hidden="1" outlineLevel="1">
      <c r="A185" s="228">
        <v>42370</v>
      </c>
      <c r="B185" s="213" t="s">
        <v>777</v>
      </c>
      <c r="C185" s="229">
        <v>750</v>
      </c>
      <c r="D185" s="215" t="s">
        <v>1032</v>
      </c>
      <c r="E185" s="215"/>
      <c r="F185" s="215"/>
      <c r="G185" s="222"/>
      <c r="H185" s="206">
        <v>0</v>
      </c>
      <c r="I185" s="216"/>
      <c r="J185" s="199" t="s">
        <v>192</v>
      </c>
    </row>
    <row r="186" spans="1:9" s="199" customFormat="1" ht="15" hidden="1" outlineLevel="1">
      <c r="A186" s="223"/>
      <c r="B186" s="218"/>
      <c r="C186" s="219"/>
      <c r="D186" s="216"/>
      <c r="E186" s="216"/>
      <c r="F186" s="216"/>
      <c r="G186" s="207" t="s">
        <v>1131</v>
      </c>
      <c r="H186" s="224">
        <f>SUM(H185)</f>
        <v>0</v>
      </c>
      <c r="I186" s="216"/>
    </row>
    <row r="187" spans="1:9" s="199" customFormat="1" ht="15" hidden="1" outlineLevel="1">
      <c r="A187" s="223"/>
      <c r="B187" s="218"/>
      <c r="C187" s="219"/>
      <c r="D187" s="216"/>
      <c r="E187" s="216"/>
      <c r="F187" s="216"/>
      <c r="G187" s="207"/>
      <c r="H187" s="224"/>
      <c r="I187" s="216"/>
    </row>
    <row r="188" spans="1:10" s="199" customFormat="1" ht="15" hidden="1" outlineLevel="1">
      <c r="A188" s="228">
        <v>42346</v>
      </c>
      <c r="B188" s="213" t="s">
        <v>777</v>
      </c>
      <c r="C188" s="214">
        <v>1690</v>
      </c>
      <c r="D188" s="215" t="s">
        <v>778</v>
      </c>
      <c r="E188" s="215"/>
      <c r="F188" s="215"/>
      <c r="G188" s="222"/>
      <c r="H188" s="206">
        <v>0</v>
      </c>
      <c r="I188" s="216"/>
      <c r="J188" s="199" t="s">
        <v>155</v>
      </c>
    </row>
    <row r="189" spans="1:9" s="199" customFormat="1" ht="15" hidden="1" outlineLevel="1">
      <c r="A189" s="223"/>
      <c r="B189" s="218"/>
      <c r="C189" s="219"/>
      <c r="D189" s="216"/>
      <c r="E189" s="216"/>
      <c r="F189" s="216"/>
      <c r="G189" s="207" t="s">
        <v>779</v>
      </c>
      <c r="H189" s="224">
        <f>SUM(H188)</f>
        <v>0</v>
      </c>
      <c r="I189" s="216"/>
    </row>
    <row r="190" spans="1:9" s="199" customFormat="1" ht="15" hidden="1" outlineLevel="1">
      <c r="A190" s="223"/>
      <c r="B190" s="218"/>
      <c r="C190" s="219"/>
      <c r="D190" s="216"/>
      <c r="E190" s="216"/>
      <c r="F190" s="216"/>
      <c r="G190" s="207"/>
      <c r="H190" s="224"/>
      <c r="I190" s="216"/>
    </row>
    <row r="191" spans="1:9" s="199" customFormat="1" ht="15" hidden="1" outlineLevel="1">
      <c r="A191" s="223"/>
      <c r="B191" s="218"/>
      <c r="C191" s="219"/>
      <c r="D191" s="216"/>
      <c r="E191" s="216"/>
      <c r="F191" s="216"/>
      <c r="G191" s="207" t="s">
        <v>1033</v>
      </c>
      <c r="H191" s="224">
        <f>H186+H189</f>
        <v>0</v>
      </c>
      <c r="I191" s="216"/>
    </row>
    <row r="192" spans="1:9" s="199" customFormat="1" ht="15" hidden="1" outlineLevel="1">
      <c r="A192" s="225"/>
      <c r="B192" s="218"/>
      <c r="C192" s="219"/>
      <c r="D192" s="216"/>
      <c r="E192" s="216"/>
      <c r="F192" s="216"/>
      <c r="G192" s="216"/>
      <c r="H192" s="224" t="s">
        <v>1</v>
      </c>
      <c r="I192" s="230"/>
    </row>
    <row r="193" spans="1:10" ht="15" hidden="1" outlineLevel="1" collapsed="1">
      <c r="A193" s="231">
        <v>42761</v>
      </c>
      <c r="B193" s="204" t="s">
        <v>96</v>
      </c>
      <c r="C193" s="232">
        <v>5948</v>
      </c>
      <c r="D193" s="203" t="s">
        <v>1494</v>
      </c>
      <c r="E193" s="203"/>
      <c r="F193" s="203"/>
      <c r="G193" s="203"/>
      <c r="H193" s="224">
        <v>0</v>
      </c>
      <c r="I193" s="233"/>
      <c r="J193" s="199" t="s">
        <v>473</v>
      </c>
    </row>
    <row r="194" spans="1:10" ht="15" hidden="1" outlineLevel="1">
      <c r="A194" s="234">
        <v>42761</v>
      </c>
      <c r="B194" s="205" t="s">
        <v>96</v>
      </c>
      <c r="C194" s="235">
        <v>5948</v>
      </c>
      <c r="D194" s="202" t="s">
        <v>1511</v>
      </c>
      <c r="E194" s="202"/>
      <c r="F194" s="202"/>
      <c r="G194" s="202"/>
      <c r="H194" s="206">
        <v>0</v>
      </c>
      <c r="I194" s="233"/>
      <c r="J194" s="199" t="s">
        <v>473</v>
      </c>
    </row>
    <row r="195" spans="1:10" ht="15" hidden="1" outlineLevel="1">
      <c r="A195" s="231"/>
      <c r="B195" s="204"/>
      <c r="C195" s="232"/>
      <c r="D195" s="203"/>
      <c r="E195" s="203"/>
      <c r="F195" s="203"/>
      <c r="G195" s="207" t="s">
        <v>115</v>
      </c>
      <c r="H195" s="224">
        <f>SUM(H193:H194)</f>
        <v>0</v>
      </c>
      <c r="I195" s="233"/>
      <c r="J195" s="199"/>
    </row>
    <row r="196" spans="1:10" ht="15" hidden="1" outlineLevel="1">
      <c r="A196" s="231"/>
      <c r="B196" s="204"/>
      <c r="C196" s="232"/>
      <c r="D196" s="203"/>
      <c r="E196" s="203"/>
      <c r="F196" s="203"/>
      <c r="G196" s="207"/>
      <c r="H196" s="224"/>
      <c r="I196" s="233"/>
      <c r="J196" s="199"/>
    </row>
    <row r="197" spans="1:10" s="199" customFormat="1" ht="15" hidden="1" outlineLevel="1">
      <c r="A197" s="212">
        <v>42887</v>
      </c>
      <c r="B197" s="213" t="s">
        <v>1172</v>
      </c>
      <c r="C197" s="220" t="s">
        <v>1173</v>
      </c>
      <c r="D197" s="215" t="s">
        <v>1174</v>
      </c>
      <c r="E197" s="215"/>
      <c r="F197" s="215"/>
      <c r="G197" s="222"/>
      <c r="H197" s="206">
        <v>0</v>
      </c>
      <c r="I197" s="216"/>
      <c r="J197" s="199" t="s">
        <v>1417</v>
      </c>
    </row>
    <row r="198" spans="1:9" s="199" customFormat="1" ht="15" hidden="1" outlineLevel="1">
      <c r="A198" s="217"/>
      <c r="B198" s="218"/>
      <c r="C198" s="221"/>
      <c r="D198" s="216"/>
      <c r="E198" s="216"/>
      <c r="F198" s="216"/>
      <c r="G198" s="207" t="s">
        <v>716</v>
      </c>
      <c r="H198" s="208">
        <f>SUM(H197)</f>
        <v>0</v>
      </c>
      <c r="I198" s="216"/>
    </row>
    <row r="199" spans="1:9" s="199" customFormat="1" ht="15" hidden="1" outlineLevel="1">
      <c r="A199" s="217"/>
      <c r="B199" s="218"/>
      <c r="C199" s="221"/>
      <c r="D199" s="216"/>
      <c r="E199" s="216"/>
      <c r="F199" s="216"/>
      <c r="G199" s="207"/>
      <c r="H199" s="208"/>
      <c r="I199" s="216"/>
    </row>
    <row r="200" spans="1:10" s="199" customFormat="1" ht="15" hidden="1" outlineLevel="1">
      <c r="A200" s="217">
        <v>42886</v>
      </c>
      <c r="B200" s="218"/>
      <c r="C200" s="221"/>
      <c r="D200" s="216" t="s">
        <v>1183</v>
      </c>
      <c r="E200" s="216"/>
      <c r="F200" s="216"/>
      <c r="G200" s="207"/>
      <c r="H200" s="208">
        <v>0</v>
      </c>
      <c r="I200" s="216"/>
      <c r="J200" s="199" t="s">
        <v>1184</v>
      </c>
    </row>
    <row r="201" spans="1:9" s="199" customFormat="1" ht="15" hidden="1" outlineLevel="1">
      <c r="A201" s="217"/>
      <c r="B201" s="218"/>
      <c r="C201" s="221"/>
      <c r="D201" s="216"/>
      <c r="E201" s="216"/>
      <c r="F201" s="216"/>
      <c r="G201" s="207"/>
      <c r="H201" s="208"/>
      <c r="I201" s="216"/>
    </row>
    <row r="202" spans="1:10" s="199" customFormat="1" ht="15" hidden="1" outlineLevel="1">
      <c r="A202" s="217">
        <v>42370</v>
      </c>
      <c r="B202" s="218"/>
      <c r="C202" s="221"/>
      <c r="D202" s="216" t="s">
        <v>1185</v>
      </c>
      <c r="E202" s="216"/>
      <c r="F202" s="216"/>
      <c r="G202" s="207"/>
      <c r="H202" s="208">
        <v>0</v>
      </c>
      <c r="I202" s="216"/>
      <c r="J202" s="199" t="s">
        <v>145</v>
      </c>
    </row>
    <row r="203" spans="1:10" s="1" customFormat="1" ht="15" collapsed="1">
      <c r="A203" s="174"/>
      <c r="B203" s="175"/>
      <c r="C203" s="285"/>
      <c r="D203" s="176"/>
      <c r="E203" s="176"/>
      <c r="F203" s="176"/>
      <c r="G203" s="201"/>
      <c r="H203" s="269"/>
      <c r="I203" s="179"/>
      <c r="J203" s="2"/>
    </row>
    <row r="204" spans="1:10" s="1" customFormat="1" ht="15">
      <c r="A204" s="174"/>
      <c r="B204" s="175"/>
      <c r="C204" s="285"/>
      <c r="D204" s="176"/>
      <c r="E204" s="176"/>
      <c r="F204" s="176"/>
      <c r="G204" s="286" t="s">
        <v>114</v>
      </c>
      <c r="H204" s="287">
        <f>H40+H48+H51+H54+H57+H60+H68+H71+H86+H89+H97+H111+H128+H133+H142+H145+H153+H161+H169+H172+H183+H191+H195+H198</f>
        <v>3419909</v>
      </c>
      <c r="I204" s="179"/>
      <c r="J204" s="2"/>
    </row>
    <row r="205" spans="1:10" s="1" customFormat="1" ht="15">
      <c r="A205" s="174"/>
      <c r="B205" s="175"/>
      <c r="C205" s="285"/>
      <c r="D205" s="176"/>
      <c r="E205" s="176"/>
      <c r="F205" s="176"/>
      <c r="G205" s="286" t="s">
        <v>114</v>
      </c>
      <c r="H205" s="287">
        <f>H204+H200+H202</f>
        <v>3419909</v>
      </c>
      <c r="I205" s="179"/>
      <c r="J205" s="2"/>
    </row>
    <row r="206" spans="1:10" s="1" customFormat="1" ht="15">
      <c r="A206" s="174"/>
      <c r="B206" s="175"/>
      <c r="C206" s="285"/>
      <c r="D206" s="176"/>
      <c r="E206" s="176"/>
      <c r="F206" s="176"/>
      <c r="G206" s="286"/>
      <c r="H206" s="287"/>
      <c r="I206" s="179"/>
      <c r="J206" s="2"/>
    </row>
    <row r="207" spans="1:9" s="1" customFormat="1" ht="15">
      <c r="A207" s="272" t="s">
        <v>1136</v>
      </c>
      <c r="B207" s="268"/>
      <c r="C207" s="268"/>
      <c r="D207" s="268"/>
      <c r="E207" s="268"/>
      <c r="F207" s="268"/>
      <c r="G207" s="268"/>
      <c r="H207" s="269" t="s">
        <v>1</v>
      </c>
      <c r="I207" s="179"/>
    </row>
    <row r="208" spans="1:10" s="2" customFormat="1" ht="15" hidden="1" outlineLevel="1">
      <c r="A208" s="194">
        <v>42370</v>
      </c>
      <c r="B208" s="183" t="s">
        <v>1138</v>
      </c>
      <c r="C208" s="192">
        <v>5946</v>
      </c>
      <c r="D208" s="184" t="s">
        <v>1139</v>
      </c>
      <c r="E208" s="184"/>
      <c r="F208" s="184"/>
      <c r="G208" s="185"/>
      <c r="H208" s="171">
        <v>0</v>
      </c>
      <c r="I208" s="193"/>
      <c r="J208" s="2" t="s">
        <v>485</v>
      </c>
    </row>
    <row r="209" spans="1:9" s="2" customFormat="1" ht="15" hidden="1" outlineLevel="1">
      <c r="A209" s="265"/>
      <c r="B209" s="262"/>
      <c r="C209" s="270"/>
      <c r="D209" s="193"/>
      <c r="E209" s="193"/>
      <c r="F209" s="193"/>
      <c r="G209" s="201" t="s">
        <v>1140</v>
      </c>
      <c r="H209" s="269">
        <f>SUM(H208)</f>
        <v>0</v>
      </c>
      <c r="I209" s="193"/>
    </row>
    <row r="210" spans="1:10" s="1" customFormat="1" ht="15" collapsed="1">
      <c r="A210" s="174"/>
      <c r="B210" s="175"/>
      <c r="C210" s="285"/>
      <c r="D210" s="176"/>
      <c r="E210" s="176"/>
      <c r="F210" s="176"/>
      <c r="G210" s="286"/>
      <c r="H210" s="287"/>
      <c r="I210" s="179"/>
      <c r="J210" s="2"/>
    </row>
    <row r="211" spans="1:10" s="1" customFormat="1" ht="15">
      <c r="A211" s="174"/>
      <c r="B211" s="175"/>
      <c r="C211" s="285"/>
      <c r="D211" s="176"/>
      <c r="E211" s="176"/>
      <c r="F211" s="176"/>
      <c r="G211" s="286" t="s">
        <v>1137</v>
      </c>
      <c r="H211" s="287">
        <f>H209</f>
        <v>0</v>
      </c>
      <c r="I211" s="179"/>
      <c r="J211" s="2"/>
    </row>
    <row r="212" spans="1:9" s="1" customFormat="1" ht="15">
      <c r="A212" s="174"/>
      <c r="B212" s="175"/>
      <c r="C212" s="285"/>
      <c r="D212" s="176"/>
      <c r="E212" s="176"/>
      <c r="F212" s="176"/>
      <c r="G212" s="176"/>
      <c r="H212" s="269" t="s">
        <v>1</v>
      </c>
      <c r="I212" s="179"/>
    </row>
    <row r="213" spans="1:9" s="1" customFormat="1" ht="15">
      <c r="A213" s="272" t="s">
        <v>76</v>
      </c>
      <c r="B213" s="268"/>
      <c r="C213" s="268"/>
      <c r="D213" s="268"/>
      <c r="E213" s="268"/>
      <c r="F213" s="268"/>
      <c r="G213" s="268"/>
      <c r="H213" s="269" t="s">
        <v>1</v>
      </c>
      <c r="I213" s="179"/>
    </row>
    <row r="214" spans="1:10" s="2" customFormat="1" ht="15">
      <c r="A214" s="194">
        <v>42796</v>
      </c>
      <c r="B214" s="183" t="s">
        <v>112</v>
      </c>
      <c r="C214" s="184">
        <v>4982</v>
      </c>
      <c r="D214" s="184" t="s">
        <v>1624</v>
      </c>
      <c r="E214" s="184"/>
      <c r="F214" s="184"/>
      <c r="G214" s="184"/>
      <c r="H214" s="186">
        <v>954000</v>
      </c>
      <c r="I214" s="187"/>
      <c r="J214" s="260" t="s">
        <v>73</v>
      </c>
    </row>
    <row r="215" spans="1:10" s="199" customFormat="1" ht="15" hidden="1" outlineLevel="1">
      <c r="A215" s="228">
        <v>42642</v>
      </c>
      <c r="B215" s="213" t="s">
        <v>112</v>
      </c>
      <c r="C215" s="214">
        <v>4660</v>
      </c>
      <c r="D215" s="215" t="s">
        <v>1217</v>
      </c>
      <c r="E215" s="215"/>
      <c r="F215" s="215"/>
      <c r="G215" s="215"/>
      <c r="H215" s="239">
        <v>0</v>
      </c>
      <c r="I215" s="230"/>
      <c r="J215" s="199" t="s">
        <v>67</v>
      </c>
    </row>
    <row r="216" spans="1:9" s="2" customFormat="1" ht="15" collapsed="1">
      <c r="A216" s="265"/>
      <c r="B216" s="189"/>
      <c r="C216" s="273"/>
      <c r="D216" s="190"/>
      <c r="E216" s="190"/>
      <c r="F216" s="190"/>
      <c r="G216" s="195" t="s">
        <v>116</v>
      </c>
      <c r="H216" s="191">
        <f>SUM(H214:H215)</f>
        <v>954000</v>
      </c>
      <c r="I216" s="187"/>
    </row>
    <row r="217" spans="1:9" s="2" customFormat="1" ht="15">
      <c r="A217" s="265"/>
      <c r="B217" s="189"/>
      <c r="C217" s="273"/>
      <c r="D217" s="190"/>
      <c r="E217" s="190"/>
      <c r="F217" s="190"/>
      <c r="G217" s="195"/>
      <c r="H217" s="191"/>
      <c r="I217" s="187"/>
    </row>
    <row r="218" spans="1:10" s="2" customFormat="1" ht="15">
      <c r="A218" s="194">
        <v>42736</v>
      </c>
      <c r="B218" s="183" t="s">
        <v>112</v>
      </c>
      <c r="C218" s="192">
        <v>4430</v>
      </c>
      <c r="D218" s="184" t="s">
        <v>258</v>
      </c>
      <c r="E218" s="184"/>
      <c r="F218" s="184"/>
      <c r="G218" s="185"/>
      <c r="H218" s="186">
        <v>-41427</v>
      </c>
      <c r="I218" s="187"/>
      <c r="J218" s="2" t="s">
        <v>192</v>
      </c>
    </row>
    <row r="219" spans="1:9" s="2" customFormat="1" ht="15">
      <c r="A219" s="265"/>
      <c r="B219" s="189"/>
      <c r="C219" s="273"/>
      <c r="D219" s="190"/>
      <c r="E219" s="190"/>
      <c r="F219" s="190"/>
      <c r="G219" s="195" t="s">
        <v>258</v>
      </c>
      <c r="H219" s="191">
        <f>SUM(H218)</f>
        <v>-41427</v>
      </c>
      <c r="I219" s="187"/>
    </row>
    <row r="220" spans="1:9" s="199" customFormat="1" ht="15" hidden="1" outlineLevel="1">
      <c r="A220" s="223"/>
      <c r="B220" s="240"/>
      <c r="C220" s="241"/>
      <c r="D220" s="226"/>
      <c r="E220" s="226"/>
      <c r="F220" s="226"/>
      <c r="G220" s="242"/>
      <c r="H220" s="237"/>
      <c r="I220" s="230"/>
    </row>
    <row r="221" spans="1:10" s="199" customFormat="1" ht="15" hidden="1" outlineLevel="1">
      <c r="A221" s="228">
        <v>42145</v>
      </c>
      <c r="B221" s="213" t="s">
        <v>112</v>
      </c>
      <c r="C221" s="214">
        <v>5948</v>
      </c>
      <c r="D221" s="215" t="s">
        <v>456</v>
      </c>
      <c r="E221" s="215"/>
      <c r="F221" s="215"/>
      <c r="G221" s="222"/>
      <c r="H221" s="239">
        <v>0</v>
      </c>
      <c r="I221" s="230"/>
      <c r="J221" s="199" t="s">
        <v>455</v>
      </c>
    </row>
    <row r="222" spans="1:9" s="199" customFormat="1" ht="15" hidden="1" outlineLevel="1">
      <c r="A222" s="223"/>
      <c r="B222" s="240"/>
      <c r="C222" s="241"/>
      <c r="D222" s="226"/>
      <c r="E222" s="226"/>
      <c r="F222" s="226"/>
      <c r="G222" s="242" t="s">
        <v>478</v>
      </c>
      <c r="H222" s="237">
        <f>SUM(H221)</f>
        <v>0</v>
      </c>
      <c r="I222" s="230"/>
    </row>
    <row r="223" spans="1:9" s="2" customFormat="1" ht="15" collapsed="1">
      <c r="A223" s="265"/>
      <c r="B223" s="189"/>
      <c r="C223" s="273"/>
      <c r="D223" s="190"/>
      <c r="E223" s="190"/>
      <c r="F223" s="190"/>
      <c r="G223" s="195"/>
      <c r="H223" s="191"/>
      <c r="I223" s="187"/>
    </row>
    <row r="224" spans="1:9" s="2" customFormat="1" ht="15">
      <c r="A224" s="265"/>
      <c r="B224" s="189"/>
      <c r="C224" s="273"/>
      <c r="D224" s="190"/>
      <c r="E224" s="190"/>
      <c r="F224" s="190"/>
      <c r="G224" s="195" t="s">
        <v>259</v>
      </c>
      <c r="H224" s="191">
        <f>H216+H219+H222</f>
        <v>912573</v>
      </c>
      <c r="I224" s="187"/>
    </row>
    <row r="225" spans="1:9" s="199" customFormat="1" ht="15" hidden="1" outlineLevel="1">
      <c r="A225" s="223"/>
      <c r="B225" s="240"/>
      <c r="C225" s="241"/>
      <c r="D225" s="226"/>
      <c r="E225" s="226"/>
      <c r="F225" s="226"/>
      <c r="G225" s="242"/>
      <c r="H225" s="237"/>
      <c r="I225" s="230"/>
    </row>
    <row r="226" spans="1:10" s="199" customFormat="1" ht="15" hidden="1" outlineLevel="1">
      <c r="A226" s="228">
        <v>42346</v>
      </c>
      <c r="B226" s="213" t="s">
        <v>780</v>
      </c>
      <c r="C226" s="214">
        <v>1690</v>
      </c>
      <c r="D226" s="215" t="s">
        <v>781</v>
      </c>
      <c r="E226" s="215"/>
      <c r="F226" s="215"/>
      <c r="G226" s="222"/>
      <c r="H226" s="206">
        <v>0</v>
      </c>
      <c r="I226" s="216"/>
      <c r="J226" s="199" t="s">
        <v>155</v>
      </c>
    </row>
    <row r="227" spans="1:9" s="199" customFormat="1" ht="15" hidden="1" outlineLevel="1">
      <c r="A227" s="223"/>
      <c r="B227" s="218"/>
      <c r="C227" s="219"/>
      <c r="D227" s="216"/>
      <c r="E227" s="216"/>
      <c r="F227" s="216"/>
      <c r="G227" s="207" t="s">
        <v>782</v>
      </c>
      <c r="H227" s="224">
        <f>SUM(H226)</f>
        <v>0</v>
      </c>
      <c r="I227" s="216"/>
    </row>
    <row r="228" spans="1:9" s="199" customFormat="1" ht="15" hidden="1" outlineLevel="1">
      <c r="A228" s="223"/>
      <c r="B228" s="240"/>
      <c r="C228" s="241"/>
      <c r="D228" s="226"/>
      <c r="E228" s="226"/>
      <c r="F228" s="226"/>
      <c r="G228" s="242"/>
      <c r="H228" s="237"/>
      <c r="I228" s="230"/>
    </row>
    <row r="229" spans="1:10" ht="15" hidden="1" outlineLevel="1">
      <c r="A229" s="234">
        <v>42312</v>
      </c>
      <c r="B229" s="205" t="s">
        <v>783</v>
      </c>
      <c r="C229" s="205" t="s">
        <v>672</v>
      </c>
      <c r="D229" s="202" t="s">
        <v>745</v>
      </c>
      <c r="E229" s="202"/>
      <c r="F229" s="202"/>
      <c r="G229" s="202"/>
      <c r="H229" s="206">
        <v>0</v>
      </c>
      <c r="I229" s="233"/>
      <c r="J229" s="199" t="s">
        <v>737</v>
      </c>
    </row>
    <row r="230" spans="1:10" ht="15" hidden="1" outlineLevel="1">
      <c r="A230" s="243"/>
      <c r="B230" s="244"/>
      <c r="C230" s="244"/>
      <c r="D230" s="236"/>
      <c r="E230" s="236"/>
      <c r="F230" s="236"/>
      <c r="G230" s="242" t="s">
        <v>950</v>
      </c>
      <c r="H230" s="224">
        <f>SUM(H229:H229)</f>
        <v>0</v>
      </c>
      <c r="I230" s="233"/>
      <c r="J230" s="238"/>
    </row>
    <row r="231" spans="1:9" s="2" customFormat="1" ht="15" collapsed="1">
      <c r="A231" s="190"/>
      <c r="B231" s="189"/>
      <c r="C231" s="190"/>
      <c r="D231" s="190"/>
      <c r="E231" s="190"/>
      <c r="F231" s="190"/>
      <c r="G231" s="190"/>
      <c r="H231" s="191"/>
      <c r="I231" s="187"/>
    </row>
    <row r="232" spans="1:10" s="199" customFormat="1" ht="15" hidden="1" outlineLevel="1">
      <c r="A232" s="227">
        <v>42661</v>
      </c>
      <c r="B232" s="221" t="s">
        <v>77</v>
      </c>
      <c r="C232" s="219">
        <v>1690</v>
      </c>
      <c r="D232" s="216" t="s">
        <v>1222</v>
      </c>
      <c r="E232" s="216"/>
      <c r="F232" s="216"/>
      <c r="G232" s="216"/>
      <c r="H232" s="245">
        <v>0</v>
      </c>
      <c r="I232" s="230"/>
      <c r="J232" s="199" t="s">
        <v>1467</v>
      </c>
    </row>
    <row r="233" spans="1:10" s="2" customFormat="1" ht="15" collapsed="1">
      <c r="A233" s="194">
        <v>42901</v>
      </c>
      <c r="B233" s="196" t="s">
        <v>77</v>
      </c>
      <c r="C233" s="192">
        <v>1690</v>
      </c>
      <c r="D233" s="184" t="s">
        <v>1222</v>
      </c>
      <c r="E233" s="184"/>
      <c r="F233" s="184"/>
      <c r="G233" s="184"/>
      <c r="H233" s="186">
        <v>583176</v>
      </c>
      <c r="I233" s="187"/>
      <c r="J233" s="2" t="s">
        <v>463</v>
      </c>
    </row>
    <row r="234" spans="1:9" s="2" customFormat="1" ht="15">
      <c r="A234" s="265"/>
      <c r="B234" s="274"/>
      <c r="C234" s="273"/>
      <c r="D234" s="190"/>
      <c r="E234" s="190"/>
      <c r="F234" s="190"/>
      <c r="G234" s="195" t="s">
        <v>117</v>
      </c>
      <c r="H234" s="191">
        <f>SUM(H232:H233)</f>
        <v>583176</v>
      </c>
      <c r="I234" s="187"/>
    </row>
    <row r="235" spans="1:9" s="2" customFormat="1" ht="15">
      <c r="A235" s="265"/>
      <c r="B235" s="274"/>
      <c r="C235" s="273"/>
      <c r="D235" s="190"/>
      <c r="E235" s="190"/>
      <c r="F235" s="190"/>
      <c r="G235" s="195"/>
      <c r="H235" s="191"/>
      <c r="I235" s="187"/>
    </row>
    <row r="236" spans="1:10" s="2" customFormat="1" ht="15">
      <c r="A236" s="265">
        <v>42736</v>
      </c>
      <c r="B236" s="274" t="s">
        <v>77</v>
      </c>
      <c r="C236" s="273">
        <v>4430</v>
      </c>
      <c r="D236" s="190" t="s">
        <v>189</v>
      </c>
      <c r="E236" s="190"/>
      <c r="F236" s="190"/>
      <c r="G236" s="195"/>
      <c r="H236" s="191">
        <v>-734600</v>
      </c>
      <c r="I236" s="187"/>
      <c r="J236" s="2" t="s">
        <v>184</v>
      </c>
    </row>
    <row r="237" spans="1:10" s="199" customFormat="1" ht="15" hidden="1" outlineLevel="1">
      <c r="A237" s="228">
        <v>42370</v>
      </c>
      <c r="B237" s="220" t="s">
        <v>77</v>
      </c>
      <c r="C237" s="214">
        <v>4430</v>
      </c>
      <c r="D237" s="215" t="s">
        <v>190</v>
      </c>
      <c r="E237" s="215"/>
      <c r="F237" s="215"/>
      <c r="G237" s="222"/>
      <c r="H237" s="239">
        <v>0</v>
      </c>
      <c r="I237" s="230"/>
      <c r="J237" s="199" t="s">
        <v>184</v>
      </c>
    </row>
    <row r="238" spans="1:9" s="2" customFormat="1" ht="15" collapsed="1">
      <c r="A238" s="265"/>
      <c r="B238" s="274"/>
      <c r="C238" s="273"/>
      <c r="D238" s="190"/>
      <c r="E238" s="190"/>
      <c r="F238" s="190"/>
      <c r="G238" s="195" t="s">
        <v>189</v>
      </c>
      <c r="H238" s="191">
        <f>SUM(H236:H237)</f>
        <v>-734600</v>
      </c>
      <c r="I238" s="187"/>
    </row>
    <row r="239" spans="1:9" s="199" customFormat="1" ht="15" hidden="1" outlineLevel="1">
      <c r="A239" s="223"/>
      <c r="B239" s="246"/>
      <c r="C239" s="241"/>
      <c r="D239" s="226"/>
      <c r="E239" s="226"/>
      <c r="F239" s="226"/>
      <c r="G239" s="242"/>
      <c r="H239" s="237"/>
      <c r="I239" s="230"/>
    </row>
    <row r="240" spans="1:10" ht="15" hidden="1" outlineLevel="1">
      <c r="A240" s="234">
        <v>42257</v>
      </c>
      <c r="B240" s="205" t="s">
        <v>77</v>
      </c>
      <c r="C240" s="205" t="s">
        <v>78</v>
      </c>
      <c r="D240" s="215" t="s">
        <v>1320</v>
      </c>
      <c r="E240" s="202"/>
      <c r="F240" s="202"/>
      <c r="G240" s="202"/>
      <c r="H240" s="206">
        <v>0</v>
      </c>
      <c r="I240" s="233"/>
      <c r="J240" s="163" t="s">
        <v>1275</v>
      </c>
    </row>
    <row r="241" spans="1:10" ht="15" hidden="1" outlineLevel="1">
      <c r="A241" s="243"/>
      <c r="B241" s="244"/>
      <c r="C241" s="244"/>
      <c r="D241" s="236"/>
      <c r="E241" s="236"/>
      <c r="F241" s="236"/>
      <c r="G241" s="242" t="s">
        <v>118</v>
      </c>
      <c r="H241" s="224">
        <f>SUM(H240:H240)</f>
        <v>0</v>
      </c>
      <c r="I241" s="233"/>
      <c r="J241" s="238"/>
    </row>
    <row r="242" spans="1:10" ht="15" hidden="1" outlineLevel="1">
      <c r="A242" s="243"/>
      <c r="B242" s="244"/>
      <c r="C242" s="244"/>
      <c r="D242" s="236"/>
      <c r="E242" s="236"/>
      <c r="F242" s="236"/>
      <c r="G242" s="242"/>
      <c r="H242" s="224"/>
      <c r="I242" s="233"/>
      <c r="J242" s="238"/>
    </row>
    <row r="243" spans="1:10" ht="15" hidden="1" outlineLevel="1">
      <c r="A243" s="234">
        <v>42312</v>
      </c>
      <c r="B243" s="205" t="s">
        <v>77</v>
      </c>
      <c r="C243" s="205" t="s">
        <v>672</v>
      </c>
      <c r="D243" s="202" t="s">
        <v>743</v>
      </c>
      <c r="E243" s="202"/>
      <c r="F243" s="202"/>
      <c r="G243" s="202"/>
      <c r="H243" s="206">
        <v>0</v>
      </c>
      <c r="I243" s="233"/>
      <c r="J243" s="199" t="s">
        <v>737</v>
      </c>
    </row>
    <row r="244" spans="1:10" ht="15" hidden="1" outlineLevel="1">
      <c r="A244" s="243"/>
      <c r="B244" s="244"/>
      <c r="C244" s="244"/>
      <c r="D244" s="236"/>
      <c r="E244" s="236"/>
      <c r="F244" s="236"/>
      <c r="G244" s="242" t="s">
        <v>746</v>
      </c>
      <c r="H244" s="224">
        <f>SUM(H243:H243)</f>
        <v>0</v>
      </c>
      <c r="I244" s="233"/>
      <c r="J244" s="238"/>
    </row>
    <row r="245" spans="1:10" s="1" customFormat="1" ht="15" collapsed="1">
      <c r="A245" s="266"/>
      <c r="B245" s="267"/>
      <c r="C245" s="267"/>
      <c r="D245" s="268"/>
      <c r="E245" s="268"/>
      <c r="F245" s="268"/>
      <c r="G245" s="195"/>
      <c r="H245" s="269"/>
      <c r="I245" s="179"/>
      <c r="J245" s="260"/>
    </row>
    <row r="246" spans="1:10" s="1" customFormat="1" ht="15">
      <c r="A246" s="266"/>
      <c r="B246" s="267"/>
      <c r="C246" s="267"/>
      <c r="D246" s="268"/>
      <c r="E246" s="268"/>
      <c r="F246" s="268"/>
      <c r="G246" s="195" t="s">
        <v>119</v>
      </c>
      <c r="H246" s="269">
        <f>H234+H238+H241+H244</f>
        <v>-151424</v>
      </c>
      <c r="I246" s="179"/>
      <c r="J246" s="260"/>
    </row>
    <row r="247" spans="1:10" s="1" customFormat="1" ht="15">
      <c r="A247" s="266"/>
      <c r="B247" s="267"/>
      <c r="C247" s="267"/>
      <c r="D247" s="268"/>
      <c r="E247" s="268"/>
      <c r="F247" s="268"/>
      <c r="G247" s="268"/>
      <c r="H247" s="269"/>
      <c r="I247" s="179"/>
      <c r="J247" s="260"/>
    </row>
    <row r="248" spans="1:10" ht="15" hidden="1" outlineLevel="1">
      <c r="A248" s="225">
        <v>42661</v>
      </c>
      <c r="B248" s="218" t="s">
        <v>107</v>
      </c>
      <c r="C248" s="218" t="s">
        <v>72</v>
      </c>
      <c r="D248" s="216" t="s">
        <v>1220</v>
      </c>
      <c r="E248" s="216"/>
      <c r="F248" s="216"/>
      <c r="G248" s="216"/>
      <c r="H248" s="245">
        <v>0</v>
      </c>
      <c r="I248" s="233"/>
      <c r="J248" s="199" t="s">
        <v>1466</v>
      </c>
    </row>
    <row r="249" spans="1:10" s="1" customFormat="1" ht="15" collapsed="1">
      <c r="A249" s="182">
        <v>42901</v>
      </c>
      <c r="B249" s="183" t="s">
        <v>107</v>
      </c>
      <c r="C249" s="183" t="s">
        <v>72</v>
      </c>
      <c r="D249" s="184" t="s">
        <v>1220</v>
      </c>
      <c r="E249" s="184"/>
      <c r="F249" s="184"/>
      <c r="G249" s="184"/>
      <c r="H249" s="186">
        <v>666892</v>
      </c>
      <c r="I249" s="179"/>
      <c r="J249" s="2" t="s">
        <v>463</v>
      </c>
    </row>
    <row r="250" spans="1:10" s="1" customFormat="1" ht="15">
      <c r="A250" s="266"/>
      <c r="B250" s="267"/>
      <c r="C250" s="267"/>
      <c r="D250" s="268"/>
      <c r="E250" s="268"/>
      <c r="F250" s="268"/>
      <c r="G250" s="195" t="s">
        <v>120</v>
      </c>
      <c r="H250" s="269">
        <f>SUM(H248:H249)</f>
        <v>666892</v>
      </c>
      <c r="I250" s="179"/>
      <c r="J250" s="2"/>
    </row>
    <row r="251" spans="1:10" ht="15" hidden="1" outlineLevel="1">
      <c r="A251" s="243"/>
      <c r="B251" s="244"/>
      <c r="C251" s="244"/>
      <c r="D251" s="236"/>
      <c r="E251" s="236"/>
      <c r="F251" s="236"/>
      <c r="G251" s="242"/>
      <c r="H251" s="224"/>
      <c r="I251" s="233"/>
      <c r="J251" s="199"/>
    </row>
    <row r="252" spans="1:10" ht="15" hidden="1" outlineLevel="1">
      <c r="A252" s="234">
        <v>42216</v>
      </c>
      <c r="B252" s="205" t="s">
        <v>107</v>
      </c>
      <c r="C252" s="205" t="s">
        <v>691</v>
      </c>
      <c r="D252" s="202" t="s">
        <v>692</v>
      </c>
      <c r="E252" s="202"/>
      <c r="F252" s="202"/>
      <c r="G252" s="222"/>
      <c r="H252" s="206">
        <v>0</v>
      </c>
      <c r="I252" s="233"/>
      <c r="J252" s="199" t="s">
        <v>693</v>
      </c>
    </row>
    <row r="253" spans="1:10" ht="15" hidden="1" outlineLevel="1">
      <c r="A253" s="243"/>
      <c r="B253" s="244"/>
      <c r="C253" s="244"/>
      <c r="D253" s="236"/>
      <c r="E253" s="236"/>
      <c r="F253" s="236"/>
      <c r="G253" s="242" t="s">
        <v>694</v>
      </c>
      <c r="H253" s="224">
        <f>SUM(H252)</f>
        <v>0</v>
      </c>
      <c r="I253" s="233"/>
      <c r="J253" s="199"/>
    </row>
    <row r="254" spans="1:10" ht="15" hidden="1" outlineLevel="1">
      <c r="A254" s="243"/>
      <c r="B254" s="244"/>
      <c r="C254" s="244"/>
      <c r="D254" s="236"/>
      <c r="E254" s="236"/>
      <c r="F254" s="236"/>
      <c r="G254" s="242"/>
      <c r="H254" s="224"/>
      <c r="I254" s="233"/>
      <c r="J254" s="199"/>
    </row>
    <row r="255" spans="1:10" ht="15" hidden="1" outlineLevel="1">
      <c r="A255" s="234">
        <v>42370</v>
      </c>
      <c r="B255" s="205" t="s">
        <v>107</v>
      </c>
      <c r="C255" s="205" t="s">
        <v>182</v>
      </c>
      <c r="D255" s="202" t="s">
        <v>191</v>
      </c>
      <c r="E255" s="202"/>
      <c r="F255" s="202"/>
      <c r="G255" s="222"/>
      <c r="H255" s="206">
        <v>0</v>
      </c>
      <c r="I255" s="233"/>
      <c r="J255" s="199" t="s">
        <v>192</v>
      </c>
    </row>
    <row r="256" spans="1:10" ht="15" hidden="1" outlineLevel="1">
      <c r="A256" s="243"/>
      <c r="B256" s="244"/>
      <c r="C256" s="244"/>
      <c r="D256" s="236"/>
      <c r="E256" s="236"/>
      <c r="F256" s="236"/>
      <c r="G256" s="242" t="s">
        <v>191</v>
      </c>
      <c r="H256" s="224">
        <f>SUM(H255)</f>
        <v>0</v>
      </c>
      <c r="I256" s="233"/>
      <c r="J256" s="199"/>
    </row>
    <row r="257" spans="1:10" s="1" customFormat="1" ht="15" collapsed="1">
      <c r="A257" s="266"/>
      <c r="B257" s="267"/>
      <c r="C257" s="267"/>
      <c r="D257" s="268"/>
      <c r="E257" s="268"/>
      <c r="F257" s="268"/>
      <c r="G257" s="195"/>
      <c r="H257" s="269"/>
      <c r="I257" s="179"/>
      <c r="J257" s="2"/>
    </row>
    <row r="258" spans="1:10" s="1" customFormat="1" ht="15">
      <c r="A258" s="266"/>
      <c r="B258" s="267"/>
      <c r="C258" s="267"/>
      <c r="D258" s="268"/>
      <c r="E258" s="268"/>
      <c r="F258" s="268"/>
      <c r="G258" s="195" t="s">
        <v>193</v>
      </c>
      <c r="H258" s="269">
        <f>H250+H253+H256</f>
        <v>666892</v>
      </c>
      <c r="I258" s="179"/>
      <c r="J258" s="2"/>
    </row>
    <row r="259" spans="1:10" ht="15" hidden="1" outlineLevel="1">
      <c r="A259" s="243"/>
      <c r="B259" s="244"/>
      <c r="C259" s="244"/>
      <c r="D259" s="236"/>
      <c r="E259" s="236"/>
      <c r="F259" s="236"/>
      <c r="G259" s="236"/>
      <c r="H259" s="224"/>
      <c r="I259" s="233"/>
      <c r="J259" s="238"/>
    </row>
    <row r="260" spans="1:10" ht="15" hidden="1" outlineLevel="1">
      <c r="A260" s="243">
        <v>42306</v>
      </c>
      <c r="B260" s="244" t="s">
        <v>106</v>
      </c>
      <c r="C260" s="244" t="s">
        <v>72</v>
      </c>
      <c r="D260" s="236" t="s">
        <v>736</v>
      </c>
      <c r="E260" s="236"/>
      <c r="F260" s="236"/>
      <c r="G260" s="236"/>
      <c r="H260" s="224">
        <v>0</v>
      </c>
      <c r="I260" s="233"/>
      <c r="J260" s="199" t="s">
        <v>103</v>
      </c>
    </row>
    <row r="261" spans="1:10" ht="15" hidden="1" outlineLevel="1">
      <c r="A261" s="243">
        <v>42312</v>
      </c>
      <c r="B261" s="244" t="s">
        <v>106</v>
      </c>
      <c r="C261" s="244" t="s">
        <v>72</v>
      </c>
      <c r="D261" s="236" t="s">
        <v>739</v>
      </c>
      <c r="E261" s="236"/>
      <c r="F261" s="236"/>
      <c r="G261" s="236"/>
      <c r="H261" s="224">
        <v>0</v>
      </c>
      <c r="I261" s="233"/>
      <c r="J261" s="199" t="s">
        <v>737</v>
      </c>
    </row>
    <row r="262" spans="1:10" ht="15" hidden="1" outlineLevel="1">
      <c r="A262" s="243">
        <v>42312</v>
      </c>
      <c r="B262" s="244" t="s">
        <v>106</v>
      </c>
      <c r="C262" s="244" t="s">
        <v>72</v>
      </c>
      <c r="D262" s="236" t="s">
        <v>738</v>
      </c>
      <c r="E262" s="236"/>
      <c r="F262" s="236"/>
      <c r="G262" s="236"/>
      <c r="H262" s="224">
        <v>0</v>
      </c>
      <c r="I262" s="233"/>
      <c r="J262" s="199" t="s">
        <v>737</v>
      </c>
    </row>
    <row r="263" spans="1:10" ht="15" hidden="1" outlineLevel="1">
      <c r="A263" s="231">
        <v>42312</v>
      </c>
      <c r="B263" s="204" t="s">
        <v>106</v>
      </c>
      <c r="C263" s="204" t="s">
        <v>72</v>
      </c>
      <c r="D263" s="203" t="s">
        <v>740</v>
      </c>
      <c r="E263" s="203"/>
      <c r="F263" s="203"/>
      <c r="G263" s="203"/>
      <c r="H263" s="208">
        <v>0</v>
      </c>
      <c r="I263" s="233"/>
      <c r="J263" s="199" t="s">
        <v>737</v>
      </c>
    </row>
    <row r="264" spans="1:10" ht="15" hidden="1" outlineLevel="1">
      <c r="A264" s="234">
        <v>42346</v>
      </c>
      <c r="B264" s="205" t="s">
        <v>106</v>
      </c>
      <c r="C264" s="205" t="s">
        <v>72</v>
      </c>
      <c r="D264" s="202" t="s">
        <v>784</v>
      </c>
      <c r="E264" s="202"/>
      <c r="F264" s="202"/>
      <c r="G264" s="202"/>
      <c r="H264" s="206">
        <v>0</v>
      </c>
      <c r="I264" s="233"/>
      <c r="J264" s="199" t="s">
        <v>155</v>
      </c>
    </row>
    <row r="265" spans="1:10" ht="15" hidden="1" outlineLevel="1">
      <c r="A265" s="243"/>
      <c r="B265" s="244"/>
      <c r="C265" s="244"/>
      <c r="D265" s="236"/>
      <c r="E265" s="236"/>
      <c r="F265" s="236"/>
      <c r="G265" s="242" t="s">
        <v>121</v>
      </c>
      <c r="H265" s="224">
        <f>SUM(H260:H264)</f>
        <v>0</v>
      </c>
      <c r="I265" s="233"/>
      <c r="J265" s="199"/>
    </row>
    <row r="266" spans="1:10" ht="15" hidden="1" outlineLevel="1">
      <c r="A266" s="243"/>
      <c r="B266" s="244"/>
      <c r="C266" s="244"/>
      <c r="D266" s="236"/>
      <c r="E266" s="236"/>
      <c r="F266" s="236"/>
      <c r="G266" s="242"/>
      <c r="H266" s="224"/>
      <c r="I266" s="233"/>
      <c r="J266" s="199"/>
    </row>
    <row r="267" spans="1:10" ht="15" hidden="1" outlineLevel="1">
      <c r="A267" s="234">
        <v>42821</v>
      </c>
      <c r="B267" s="205" t="s">
        <v>106</v>
      </c>
      <c r="C267" s="205" t="s">
        <v>1315</v>
      </c>
      <c r="D267" s="202" t="s">
        <v>1581</v>
      </c>
      <c r="E267" s="202"/>
      <c r="F267" s="202"/>
      <c r="G267" s="222"/>
      <c r="H267" s="206">
        <v>0</v>
      </c>
      <c r="I267" s="233"/>
      <c r="J267" s="199" t="s">
        <v>1573</v>
      </c>
    </row>
    <row r="268" spans="1:10" ht="15" hidden="1" outlineLevel="1">
      <c r="A268" s="243"/>
      <c r="B268" s="244"/>
      <c r="C268" s="244"/>
      <c r="D268" s="236"/>
      <c r="E268" s="236"/>
      <c r="F268" s="236"/>
      <c r="G268" s="242" t="s">
        <v>1365</v>
      </c>
      <c r="H268" s="224">
        <f>SUM(H267)</f>
        <v>0</v>
      </c>
      <c r="I268" s="233"/>
      <c r="J268" s="199"/>
    </row>
    <row r="269" spans="1:10" ht="15" hidden="1" outlineLevel="1">
      <c r="A269" s="243"/>
      <c r="B269" s="244"/>
      <c r="C269" s="244"/>
      <c r="D269" s="236"/>
      <c r="E269" s="236"/>
      <c r="F269" s="236"/>
      <c r="G269" s="242"/>
      <c r="H269" s="224"/>
      <c r="I269" s="233"/>
      <c r="J269" s="199"/>
    </row>
    <row r="270" spans="1:10" ht="15" hidden="1" outlineLevel="1">
      <c r="A270" s="234">
        <v>42370</v>
      </c>
      <c r="B270" s="205" t="s">
        <v>106</v>
      </c>
      <c r="C270" s="205" t="s">
        <v>182</v>
      </c>
      <c r="D270" s="202" t="s">
        <v>194</v>
      </c>
      <c r="E270" s="202"/>
      <c r="F270" s="202"/>
      <c r="G270" s="222"/>
      <c r="H270" s="206">
        <v>0</v>
      </c>
      <c r="I270" s="233"/>
      <c r="J270" s="199" t="s">
        <v>192</v>
      </c>
    </row>
    <row r="271" spans="1:10" ht="15" hidden="1" outlineLevel="1">
      <c r="A271" s="243"/>
      <c r="B271" s="244"/>
      <c r="C271" s="244"/>
      <c r="D271" s="236"/>
      <c r="E271" s="236"/>
      <c r="F271" s="236"/>
      <c r="G271" s="242" t="s">
        <v>194</v>
      </c>
      <c r="H271" s="224">
        <f>SUM(H270)</f>
        <v>0</v>
      </c>
      <c r="I271" s="233"/>
      <c r="J271" s="199"/>
    </row>
    <row r="272" spans="1:10" ht="15" hidden="1" outlineLevel="1">
      <c r="A272" s="243"/>
      <c r="B272" s="244"/>
      <c r="C272" s="244"/>
      <c r="D272" s="236"/>
      <c r="E272" s="236"/>
      <c r="F272" s="236"/>
      <c r="G272" s="242"/>
      <c r="H272" s="224"/>
      <c r="I272" s="233"/>
      <c r="J272" s="199"/>
    </row>
    <row r="273" spans="1:10" ht="15" hidden="1" outlineLevel="1">
      <c r="A273" s="234">
        <v>42597</v>
      </c>
      <c r="B273" s="205" t="s">
        <v>106</v>
      </c>
      <c r="C273" s="205" t="s">
        <v>1319</v>
      </c>
      <c r="D273" s="202" t="s">
        <v>1321</v>
      </c>
      <c r="E273" s="202"/>
      <c r="F273" s="202"/>
      <c r="G273" s="222"/>
      <c r="H273" s="206">
        <v>0</v>
      </c>
      <c r="I273" s="233"/>
      <c r="J273" s="199" t="s">
        <v>1275</v>
      </c>
    </row>
    <row r="274" spans="1:10" ht="15" hidden="1" outlineLevel="1">
      <c r="A274" s="243"/>
      <c r="B274" s="244"/>
      <c r="C274" s="244"/>
      <c r="D274" s="236"/>
      <c r="E274" s="236"/>
      <c r="F274" s="236"/>
      <c r="G274" s="242" t="s">
        <v>695</v>
      </c>
      <c r="H274" s="224">
        <f>SUM(H273)</f>
        <v>0</v>
      </c>
      <c r="I274" s="233"/>
      <c r="J274" s="199"/>
    </row>
    <row r="275" spans="1:10" ht="15" hidden="1" outlineLevel="1">
      <c r="A275" s="243"/>
      <c r="B275" s="244"/>
      <c r="C275" s="244"/>
      <c r="D275" s="236"/>
      <c r="E275" s="236"/>
      <c r="F275" s="236"/>
      <c r="G275" s="242"/>
      <c r="H275" s="224"/>
      <c r="I275" s="233"/>
      <c r="J275" s="199"/>
    </row>
    <row r="276" spans="1:10" ht="15" hidden="1" outlineLevel="1">
      <c r="A276" s="234">
        <v>42312</v>
      </c>
      <c r="B276" s="205" t="s">
        <v>106</v>
      </c>
      <c r="C276" s="205" t="s">
        <v>672</v>
      </c>
      <c r="D276" s="202" t="s">
        <v>744</v>
      </c>
      <c r="E276" s="202"/>
      <c r="F276" s="202"/>
      <c r="G276" s="222"/>
      <c r="H276" s="206">
        <v>0</v>
      </c>
      <c r="I276" s="233"/>
      <c r="J276" s="199" t="s">
        <v>737</v>
      </c>
    </row>
    <row r="277" spans="1:10" ht="15" hidden="1" outlineLevel="1">
      <c r="A277" s="243"/>
      <c r="B277" s="244"/>
      <c r="C277" s="244"/>
      <c r="D277" s="236"/>
      <c r="E277" s="236"/>
      <c r="F277" s="236"/>
      <c r="G277" s="242" t="s">
        <v>747</v>
      </c>
      <c r="H277" s="224">
        <f>SUM(H276)</f>
        <v>0</v>
      </c>
      <c r="I277" s="233"/>
      <c r="J277" s="199"/>
    </row>
    <row r="278" spans="1:10" ht="15" hidden="1" outlineLevel="1">
      <c r="A278" s="243"/>
      <c r="B278" s="244"/>
      <c r="C278" s="244"/>
      <c r="D278" s="236"/>
      <c r="E278" s="236"/>
      <c r="F278" s="236"/>
      <c r="G278" s="242"/>
      <c r="H278" s="224"/>
      <c r="I278" s="233"/>
      <c r="J278" s="199"/>
    </row>
    <row r="279" spans="1:10" ht="15" hidden="1" outlineLevel="1">
      <c r="A279" s="243"/>
      <c r="B279" s="244"/>
      <c r="C279" s="244"/>
      <c r="D279" s="236"/>
      <c r="E279" s="236"/>
      <c r="F279" s="236"/>
      <c r="G279" s="242" t="s">
        <v>195</v>
      </c>
      <c r="H279" s="224">
        <f>H265+H268+H271+H274+H277</f>
        <v>0</v>
      </c>
      <c r="I279" s="233"/>
      <c r="J279" s="199"/>
    </row>
    <row r="280" spans="1:10" s="1" customFormat="1" ht="15" collapsed="1">
      <c r="A280" s="266"/>
      <c r="B280" s="267"/>
      <c r="C280" s="267"/>
      <c r="D280" s="268"/>
      <c r="E280" s="268"/>
      <c r="F280" s="268"/>
      <c r="G280" s="268"/>
      <c r="H280" s="269"/>
      <c r="I280" s="179"/>
      <c r="J280" s="260"/>
    </row>
    <row r="281" spans="1:10" ht="15" hidden="1" outlineLevel="1">
      <c r="A281" s="231">
        <v>42661</v>
      </c>
      <c r="B281" s="204" t="s">
        <v>105</v>
      </c>
      <c r="C281" s="204" t="s">
        <v>72</v>
      </c>
      <c r="D281" s="203" t="s">
        <v>1223</v>
      </c>
      <c r="E281" s="203"/>
      <c r="F281" s="203"/>
      <c r="G281" s="203"/>
      <c r="H281" s="208">
        <v>0</v>
      </c>
      <c r="I281" s="233"/>
      <c r="J281" s="199" t="s">
        <v>1466</v>
      </c>
    </row>
    <row r="282" spans="1:10" s="1" customFormat="1" ht="15" collapsed="1">
      <c r="A282" s="168">
        <v>42901</v>
      </c>
      <c r="B282" s="169" t="s">
        <v>105</v>
      </c>
      <c r="C282" s="169" t="s">
        <v>72</v>
      </c>
      <c r="D282" s="170" t="s">
        <v>1223</v>
      </c>
      <c r="E282" s="170"/>
      <c r="F282" s="170"/>
      <c r="G282" s="170"/>
      <c r="H282" s="171">
        <v>307944</v>
      </c>
      <c r="I282" s="179"/>
      <c r="J282" s="2" t="s">
        <v>463</v>
      </c>
    </row>
    <row r="283" spans="1:14" s="1" customFormat="1" ht="15">
      <c r="A283" s="266"/>
      <c r="B283" s="267"/>
      <c r="C283" s="267"/>
      <c r="D283" s="268"/>
      <c r="E283" s="268"/>
      <c r="F283" s="268"/>
      <c r="G283" s="195" t="s">
        <v>122</v>
      </c>
      <c r="H283" s="269">
        <f>SUM(H281:H282)</f>
        <v>307944</v>
      </c>
      <c r="I283" s="179"/>
      <c r="J283" s="2"/>
      <c r="N283" s="173"/>
    </row>
    <row r="284" spans="1:14" ht="15" hidden="1" outlineLevel="1">
      <c r="A284" s="243"/>
      <c r="B284" s="244"/>
      <c r="C284" s="244"/>
      <c r="D284" s="236"/>
      <c r="E284" s="236"/>
      <c r="F284" s="236"/>
      <c r="G284" s="242"/>
      <c r="H284" s="224"/>
      <c r="I284" s="233"/>
      <c r="J284" s="199"/>
      <c r="N284" s="247"/>
    </row>
    <row r="285" spans="1:14" ht="15" hidden="1" outlineLevel="1">
      <c r="A285" s="243">
        <v>42370</v>
      </c>
      <c r="B285" s="244" t="s">
        <v>105</v>
      </c>
      <c r="C285" s="244" t="s">
        <v>182</v>
      </c>
      <c r="D285" s="236" t="s">
        <v>196</v>
      </c>
      <c r="E285" s="236"/>
      <c r="F285" s="236"/>
      <c r="G285" s="242"/>
      <c r="H285" s="224">
        <v>0</v>
      </c>
      <c r="I285" s="233"/>
      <c r="J285" s="199" t="s">
        <v>192</v>
      </c>
      <c r="N285" s="247"/>
    </row>
    <row r="286" spans="1:14" ht="15" hidden="1" outlineLevel="1">
      <c r="A286" s="234">
        <v>42370</v>
      </c>
      <c r="B286" s="205" t="s">
        <v>105</v>
      </c>
      <c r="C286" s="205" t="s">
        <v>182</v>
      </c>
      <c r="D286" s="202" t="s">
        <v>197</v>
      </c>
      <c r="E286" s="202"/>
      <c r="F286" s="202"/>
      <c r="G286" s="222"/>
      <c r="H286" s="206">
        <v>0</v>
      </c>
      <c r="I286" s="233"/>
      <c r="J286" s="199" t="s">
        <v>192</v>
      </c>
      <c r="N286" s="247"/>
    </row>
    <row r="287" spans="1:14" ht="15" hidden="1" outlineLevel="1">
      <c r="A287" s="243"/>
      <c r="B287" s="244"/>
      <c r="C287" s="244"/>
      <c r="D287" s="236"/>
      <c r="E287" s="236"/>
      <c r="F287" s="236"/>
      <c r="G287" s="242" t="s">
        <v>196</v>
      </c>
      <c r="H287" s="224">
        <f>SUM(H285:H286)</f>
        <v>0</v>
      </c>
      <c r="I287" s="233"/>
      <c r="J287" s="199"/>
      <c r="N287" s="247"/>
    </row>
    <row r="288" spans="1:14" ht="15" hidden="1" outlineLevel="1">
      <c r="A288" s="243"/>
      <c r="B288" s="244"/>
      <c r="C288" s="244"/>
      <c r="D288" s="236"/>
      <c r="E288" s="236"/>
      <c r="F288" s="236"/>
      <c r="G288" s="242"/>
      <c r="H288" s="224"/>
      <c r="I288" s="233"/>
      <c r="J288" s="199"/>
      <c r="N288" s="247"/>
    </row>
    <row r="289" spans="1:14" ht="15" hidden="1" outlineLevel="1">
      <c r="A289" s="234">
        <v>42257</v>
      </c>
      <c r="B289" s="205" t="s">
        <v>105</v>
      </c>
      <c r="C289" s="205" t="s">
        <v>78</v>
      </c>
      <c r="D289" s="202" t="s">
        <v>719</v>
      </c>
      <c r="E289" s="202"/>
      <c r="F289" s="202"/>
      <c r="G289" s="222"/>
      <c r="H289" s="206">
        <v>0</v>
      </c>
      <c r="I289" s="233"/>
      <c r="J289" s="199" t="s">
        <v>717</v>
      </c>
      <c r="N289" s="247"/>
    </row>
    <row r="290" spans="1:14" ht="15" hidden="1" outlineLevel="1">
      <c r="A290" s="243"/>
      <c r="B290" s="244"/>
      <c r="C290" s="244"/>
      <c r="D290" s="236"/>
      <c r="E290" s="236"/>
      <c r="F290" s="236"/>
      <c r="G290" s="242" t="s">
        <v>697</v>
      </c>
      <c r="H290" s="224">
        <f>SUM(H289)</f>
        <v>0</v>
      </c>
      <c r="I290" s="233"/>
      <c r="J290" s="199"/>
      <c r="N290" s="247"/>
    </row>
    <row r="291" spans="1:14" s="1" customFormat="1" ht="15" collapsed="1">
      <c r="A291" s="266"/>
      <c r="B291" s="267"/>
      <c r="C291" s="267"/>
      <c r="D291" s="268"/>
      <c r="E291" s="268"/>
      <c r="F291" s="268"/>
      <c r="G291" s="195"/>
      <c r="H291" s="269"/>
      <c r="I291" s="179"/>
      <c r="J291" s="2"/>
      <c r="N291" s="173"/>
    </row>
    <row r="292" spans="1:14" s="1" customFormat="1" ht="15">
      <c r="A292" s="266"/>
      <c r="B292" s="267"/>
      <c r="C292" s="267"/>
      <c r="D292" s="268"/>
      <c r="E292" s="268"/>
      <c r="F292" s="268"/>
      <c r="G292" s="195" t="s">
        <v>198</v>
      </c>
      <c r="H292" s="269">
        <f>H283+H287+H290</f>
        <v>307944</v>
      </c>
      <c r="I292" s="179"/>
      <c r="J292" s="2"/>
      <c r="N292" s="173"/>
    </row>
    <row r="293" spans="1:14" ht="15" hidden="1" outlineLevel="1">
      <c r="A293" s="243"/>
      <c r="B293" s="244"/>
      <c r="C293" s="244"/>
      <c r="D293" s="236"/>
      <c r="E293" s="236"/>
      <c r="F293" s="236"/>
      <c r="G293" s="242"/>
      <c r="H293" s="224"/>
      <c r="I293" s="233"/>
      <c r="J293" s="199"/>
      <c r="N293" s="247"/>
    </row>
    <row r="294" spans="1:14" ht="15" hidden="1" outlineLevel="1">
      <c r="A294" s="234">
        <v>42674</v>
      </c>
      <c r="B294" s="205" t="s">
        <v>110</v>
      </c>
      <c r="C294" s="205" t="s">
        <v>1090</v>
      </c>
      <c r="D294" s="202" t="s">
        <v>1477</v>
      </c>
      <c r="E294" s="202"/>
      <c r="F294" s="202"/>
      <c r="G294" s="222"/>
      <c r="H294" s="206">
        <v>0</v>
      </c>
      <c r="I294" s="233"/>
      <c r="J294" s="199" t="s">
        <v>646</v>
      </c>
      <c r="N294" s="247"/>
    </row>
    <row r="295" spans="1:14" ht="15" hidden="1" outlineLevel="1">
      <c r="A295" s="243"/>
      <c r="B295" s="244"/>
      <c r="C295" s="244"/>
      <c r="D295" s="236"/>
      <c r="E295" s="236"/>
      <c r="F295" s="236"/>
      <c r="G295" s="242" t="s">
        <v>1478</v>
      </c>
      <c r="H295" s="224">
        <f>SUM(H294)</f>
        <v>0</v>
      </c>
      <c r="I295" s="233"/>
      <c r="J295" s="199"/>
      <c r="N295" s="247"/>
    </row>
    <row r="296" spans="1:14" ht="15" hidden="1" outlineLevel="1">
      <c r="A296" s="243"/>
      <c r="B296" s="244"/>
      <c r="C296" s="244"/>
      <c r="D296" s="236"/>
      <c r="E296" s="236"/>
      <c r="F296" s="236"/>
      <c r="G296" s="242"/>
      <c r="H296" s="224"/>
      <c r="I296" s="233"/>
      <c r="J296" s="199"/>
      <c r="N296" s="247"/>
    </row>
    <row r="297" spans="1:10" s="199" customFormat="1" ht="15" hidden="1" outlineLevel="1">
      <c r="A297" s="212">
        <v>42370</v>
      </c>
      <c r="B297" s="275" t="s">
        <v>1155</v>
      </c>
      <c r="C297" s="220" t="s">
        <v>1149</v>
      </c>
      <c r="D297" s="215" t="s">
        <v>1156</v>
      </c>
      <c r="E297" s="215"/>
      <c r="F297" s="215"/>
      <c r="G297" s="222"/>
      <c r="H297" s="171">
        <v>0</v>
      </c>
      <c r="I297" s="216"/>
      <c r="J297" s="199" t="s">
        <v>485</v>
      </c>
    </row>
    <row r="298" spans="1:9" s="199" customFormat="1" ht="15" hidden="1" outlineLevel="1">
      <c r="A298" s="217"/>
      <c r="B298" s="218"/>
      <c r="C298" s="221"/>
      <c r="D298" s="216"/>
      <c r="E298" s="216"/>
      <c r="F298" s="216"/>
      <c r="G298" s="207" t="s">
        <v>1151</v>
      </c>
      <c r="H298" s="208">
        <f>SUM(H297)</f>
        <v>0</v>
      </c>
      <c r="I298" s="216"/>
    </row>
    <row r="299" spans="1:14" ht="15" hidden="1" outlineLevel="1">
      <c r="A299" s="243"/>
      <c r="B299" s="244"/>
      <c r="C299" s="244"/>
      <c r="D299" s="236"/>
      <c r="E299" s="236"/>
      <c r="F299" s="236"/>
      <c r="G299" s="242"/>
      <c r="H299" s="224"/>
      <c r="I299" s="233"/>
      <c r="J299" s="199"/>
      <c r="N299" s="247"/>
    </row>
    <row r="300" spans="1:14" ht="15" hidden="1" outlineLevel="1">
      <c r="A300" s="234">
        <v>42370</v>
      </c>
      <c r="B300" s="205" t="s">
        <v>110</v>
      </c>
      <c r="C300" s="205" t="s">
        <v>427</v>
      </c>
      <c r="D300" s="202" t="s">
        <v>1207</v>
      </c>
      <c r="E300" s="202"/>
      <c r="F300" s="202"/>
      <c r="G300" s="222"/>
      <c r="H300" s="206">
        <v>0</v>
      </c>
      <c r="I300" s="233"/>
      <c r="J300" s="199" t="s">
        <v>428</v>
      </c>
      <c r="N300" s="247"/>
    </row>
    <row r="301" spans="1:14" ht="15" hidden="1" outlineLevel="1">
      <c r="A301" s="243"/>
      <c r="B301" s="244"/>
      <c r="C301" s="244"/>
      <c r="D301" s="236"/>
      <c r="E301" s="236"/>
      <c r="F301" s="236"/>
      <c r="G301" s="242" t="s">
        <v>429</v>
      </c>
      <c r="H301" s="224">
        <f>SUM(H300)</f>
        <v>0</v>
      </c>
      <c r="I301" s="233"/>
      <c r="J301" s="199"/>
      <c r="N301" s="247"/>
    </row>
    <row r="302" spans="1:14" s="1" customFormat="1" ht="15" collapsed="1">
      <c r="A302" s="266"/>
      <c r="B302" s="267"/>
      <c r="C302" s="267"/>
      <c r="D302" s="268"/>
      <c r="E302" s="268"/>
      <c r="F302" s="268"/>
      <c r="G302" s="195"/>
      <c r="H302" s="269"/>
      <c r="I302" s="179"/>
      <c r="J302" s="2"/>
      <c r="N302" s="173"/>
    </row>
    <row r="303" spans="1:14" s="1" customFormat="1" ht="15" collapsed="1">
      <c r="A303" s="266">
        <v>42796</v>
      </c>
      <c r="B303" s="267" t="s">
        <v>110</v>
      </c>
      <c r="C303" s="267" t="s">
        <v>72</v>
      </c>
      <c r="D303" s="268" t="s">
        <v>1626</v>
      </c>
      <c r="E303" s="268"/>
      <c r="F303" s="268"/>
      <c r="G303" s="195"/>
      <c r="H303" s="269">
        <v>1400000</v>
      </c>
      <c r="I303" s="179"/>
      <c r="J303" s="2" t="s">
        <v>749</v>
      </c>
      <c r="N303" s="173"/>
    </row>
    <row r="304" spans="1:14" s="1" customFormat="1" ht="15">
      <c r="A304" s="266">
        <v>42796</v>
      </c>
      <c r="B304" s="267" t="s">
        <v>110</v>
      </c>
      <c r="C304" s="267" t="s">
        <v>72</v>
      </c>
      <c r="D304" s="268" t="s">
        <v>1629</v>
      </c>
      <c r="E304" s="268"/>
      <c r="F304" s="268"/>
      <c r="G304" s="195"/>
      <c r="H304" s="269">
        <v>750000</v>
      </c>
      <c r="I304" s="179"/>
      <c r="J304" s="2" t="s">
        <v>1628</v>
      </c>
      <c r="N304" s="173"/>
    </row>
    <row r="305" spans="1:14" s="1" customFormat="1" ht="15">
      <c r="A305" s="168">
        <v>42901</v>
      </c>
      <c r="B305" s="169" t="s">
        <v>110</v>
      </c>
      <c r="C305" s="169" t="s">
        <v>72</v>
      </c>
      <c r="D305" s="170" t="s">
        <v>1221</v>
      </c>
      <c r="E305" s="170"/>
      <c r="F305" s="170"/>
      <c r="G305" s="185"/>
      <c r="H305" s="171">
        <v>230707</v>
      </c>
      <c r="I305" s="179"/>
      <c r="J305" s="2" t="s">
        <v>463</v>
      </c>
      <c r="N305" s="173"/>
    </row>
    <row r="306" spans="1:14" s="1" customFormat="1" ht="15">
      <c r="A306" s="266"/>
      <c r="B306" s="267"/>
      <c r="C306" s="267"/>
      <c r="D306" s="268"/>
      <c r="E306" s="268"/>
      <c r="F306" s="268"/>
      <c r="G306" s="195" t="s">
        <v>680</v>
      </c>
      <c r="H306" s="269">
        <f>SUM(H303:H305)</f>
        <v>2380707</v>
      </c>
      <c r="I306" s="179"/>
      <c r="J306" s="2"/>
      <c r="N306" s="173"/>
    </row>
    <row r="307" spans="1:14" s="1" customFormat="1" ht="15">
      <c r="A307" s="266"/>
      <c r="B307" s="267"/>
      <c r="C307" s="267"/>
      <c r="D307" s="268"/>
      <c r="E307" s="268"/>
      <c r="F307" s="268"/>
      <c r="G307" s="195"/>
      <c r="H307" s="269"/>
      <c r="I307" s="179"/>
      <c r="J307" s="2"/>
      <c r="N307" s="173"/>
    </row>
    <row r="308" spans="1:14" s="1" customFormat="1" ht="15">
      <c r="A308" s="168">
        <v>42943</v>
      </c>
      <c r="B308" s="169" t="s">
        <v>110</v>
      </c>
      <c r="C308" s="169" t="s">
        <v>1691</v>
      </c>
      <c r="D308" s="170" t="s">
        <v>1692</v>
      </c>
      <c r="E308" s="170"/>
      <c r="F308" s="170"/>
      <c r="G308" s="185"/>
      <c r="H308" s="171">
        <v>835000</v>
      </c>
      <c r="I308" s="179" t="s">
        <v>1693</v>
      </c>
      <c r="J308" s="2" t="s">
        <v>104</v>
      </c>
      <c r="N308" s="173"/>
    </row>
    <row r="309" spans="1:14" s="1" customFormat="1" ht="15">
      <c r="A309" s="266"/>
      <c r="B309" s="267"/>
      <c r="C309" s="267"/>
      <c r="D309" s="268"/>
      <c r="E309" s="268"/>
      <c r="F309" s="268"/>
      <c r="G309" s="195" t="s">
        <v>1360</v>
      </c>
      <c r="H309" s="269">
        <f>SUM(H308)</f>
        <v>835000</v>
      </c>
      <c r="I309" s="179"/>
      <c r="J309" s="2"/>
      <c r="N309" s="173"/>
    </row>
    <row r="310" spans="1:14" ht="15" hidden="1" outlineLevel="1">
      <c r="A310" s="243"/>
      <c r="B310" s="244"/>
      <c r="C310" s="244"/>
      <c r="D310" s="236"/>
      <c r="E310" s="236"/>
      <c r="F310" s="236"/>
      <c r="G310" s="236"/>
      <c r="H310" s="208"/>
      <c r="I310" s="233"/>
      <c r="J310" s="238"/>
      <c r="N310" s="207" t="s">
        <v>1</v>
      </c>
    </row>
    <row r="311" spans="1:14" ht="15" hidden="1" outlineLevel="1">
      <c r="A311" s="243">
        <v>42717</v>
      </c>
      <c r="B311" s="244" t="s">
        <v>110</v>
      </c>
      <c r="C311" s="244" t="s">
        <v>1397</v>
      </c>
      <c r="D311" s="236" t="s">
        <v>1398</v>
      </c>
      <c r="E311" s="236"/>
      <c r="F311" s="236"/>
      <c r="G311" s="236"/>
      <c r="H311" s="208">
        <v>0</v>
      </c>
      <c r="I311" s="233"/>
      <c r="J311" s="238" t="s">
        <v>1399</v>
      </c>
      <c r="N311" s="207"/>
    </row>
    <row r="312" spans="1:10" s="247" customFormat="1" ht="15" hidden="1" outlineLevel="1">
      <c r="A312" s="231">
        <v>42600</v>
      </c>
      <c r="B312" s="204" t="s">
        <v>110</v>
      </c>
      <c r="C312" s="204" t="s">
        <v>78</v>
      </c>
      <c r="D312" s="203" t="s">
        <v>718</v>
      </c>
      <c r="E312" s="203"/>
      <c r="F312" s="203"/>
      <c r="G312" s="203"/>
      <c r="H312" s="206">
        <v>0</v>
      </c>
      <c r="I312" s="210"/>
      <c r="J312" s="200" t="s">
        <v>969</v>
      </c>
    </row>
    <row r="313" spans="1:10" s="247" customFormat="1" ht="15" hidden="1" outlineLevel="1">
      <c r="A313" s="231"/>
      <c r="B313" s="204"/>
      <c r="C313" s="204"/>
      <c r="D313" s="203"/>
      <c r="E313" s="203"/>
      <c r="F313" s="203"/>
      <c r="G313" s="207" t="s">
        <v>124</v>
      </c>
      <c r="H313" s="208">
        <f>SUM(H311:H312)</f>
        <v>0</v>
      </c>
      <c r="I313" s="210"/>
      <c r="J313" s="200"/>
    </row>
    <row r="314" spans="1:10" s="173" customFormat="1" ht="15" collapsed="1">
      <c r="A314" s="174"/>
      <c r="B314" s="175"/>
      <c r="C314" s="175"/>
      <c r="D314" s="176"/>
      <c r="E314" s="176"/>
      <c r="F314" s="176"/>
      <c r="G314" s="201"/>
      <c r="H314" s="177"/>
      <c r="I314" s="172"/>
      <c r="J314" s="178"/>
    </row>
    <row r="315" spans="1:14" s="173" customFormat="1" ht="15">
      <c r="A315" s="168">
        <v>42736</v>
      </c>
      <c r="B315" s="169" t="s">
        <v>110</v>
      </c>
      <c r="C315" s="169" t="s">
        <v>182</v>
      </c>
      <c r="D315" s="170" t="s">
        <v>199</v>
      </c>
      <c r="E315" s="170"/>
      <c r="F315" s="170"/>
      <c r="G315" s="185"/>
      <c r="H315" s="171">
        <v>9707459</v>
      </c>
      <c r="I315" s="172"/>
      <c r="J315" s="178" t="s">
        <v>192</v>
      </c>
      <c r="N315" s="280"/>
    </row>
    <row r="316" spans="1:10" s="173" customFormat="1" ht="15">
      <c r="A316" s="174"/>
      <c r="B316" s="175"/>
      <c r="C316" s="175"/>
      <c r="D316" s="176"/>
      <c r="E316" s="176"/>
      <c r="F316" s="176"/>
      <c r="G316" s="201" t="s">
        <v>199</v>
      </c>
      <c r="H316" s="177">
        <f>SUM(H315)</f>
        <v>9707459</v>
      </c>
      <c r="I316" s="172"/>
      <c r="J316" s="178"/>
    </row>
    <row r="317" spans="1:10" s="247" customFormat="1" ht="15" hidden="1" outlineLevel="1">
      <c r="A317" s="231"/>
      <c r="B317" s="204"/>
      <c r="C317" s="204"/>
      <c r="D317" s="203"/>
      <c r="E317" s="203"/>
      <c r="F317" s="203"/>
      <c r="G317" s="207"/>
      <c r="H317" s="208"/>
      <c r="I317" s="210"/>
      <c r="J317" s="200"/>
    </row>
    <row r="318" spans="1:10" s="247" customFormat="1" ht="15" hidden="1" outlineLevel="1">
      <c r="A318" s="234">
        <v>42397</v>
      </c>
      <c r="B318" s="205" t="s">
        <v>91</v>
      </c>
      <c r="C318" s="205" t="s">
        <v>89</v>
      </c>
      <c r="D318" s="202" t="s">
        <v>978</v>
      </c>
      <c r="E318" s="202"/>
      <c r="F318" s="202"/>
      <c r="G318" s="202"/>
      <c r="H318" s="206">
        <v>0</v>
      </c>
      <c r="I318" s="210" t="s">
        <v>977</v>
      </c>
      <c r="J318" s="247" t="s">
        <v>473</v>
      </c>
    </row>
    <row r="319" spans="1:9" s="247" customFormat="1" ht="15" hidden="1" outlineLevel="1">
      <c r="A319" s="231"/>
      <c r="B319" s="204"/>
      <c r="C319" s="204"/>
      <c r="D319" s="203"/>
      <c r="E319" s="203"/>
      <c r="F319" s="203"/>
      <c r="G319" s="207" t="s">
        <v>976</v>
      </c>
      <c r="H319" s="208">
        <f>SUM(H318)</f>
        <v>0</v>
      </c>
      <c r="I319" s="210"/>
    </row>
    <row r="320" spans="1:10" s="173" customFormat="1" ht="15" collapsed="1">
      <c r="A320" s="174"/>
      <c r="B320" s="175"/>
      <c r="C320" s="175"/>
      <c r="D320" s="176"/>
      <c r="E320" s="176"/>
      <c r="F320" s="176"/>
      <c r="G320" s="201"/>
      <c r="H320" s="177"/>
      <c r="I320" s="172"/>
      <c r="J320" s="178"/>
    </row>
    <row r="321" spans="1:10" s="173" customFormat="1" ht="15" collapsed="1">
      <c r="A321" s="174"/>
      <c r="B321" s="175"/>
      <c r="C321" s="175"/>
      <c r="D321" s="176"/>
      <c r="E321" s="176"/>
      <c r="F321" s="176"/>
      <c r="G321" s="201" t="s">
        <v>200</v>
      </c>
      <c r="H321" s="177">
        <f>H295+H301+H306+H309+H313+H316+H319</f>
        <v>12923166</v>
      </c>
      <c r="I321" s="172"/>
      <c r="J321" s="178"/>
    </row>
    <row r="322" spans="1:10" s="247" customFormat="1" ht="15" hidden="1" outlineLevel="1">
      <c r="A322" s="231"/>
      <c r="B322" s="204"/>
      <c r="C322" s="204"/>
      <c r="D322" s="203"/>
      <c r="E322" s="203"/>
      <c r="F322" s="203"/>
      <c r="G322" s="207"/>
      <c r="H322" s="208"/>
      <c r="I322" s="210"/>
      <c r="J322" s="200"/>
    </row>
    <row r="323" spans="1:10" s="247" customFormat="1" ht="15" hidden="1" outlineLevel="1">
      <c r="A323" s="234">
        <v>42717</v>
      </c>
      <c r="B323" s="205" t="s">
        <v>91</v>
      </c>
      <c r="C323" s="205" t="s">
        <v>427</v>
      </c>
      <c r="D323" s="202" t="s">
        <v>1464</v>
      </c>
      <c r="E323" s="202"/>
      <c r="F323" s="202"/>
      <c r="G323" s="202"/>
      <c r="H323" s="206">
        <v>0</v>
      </c>
      <c r="I323" s="210"/>
      <c r="J323" s="200" t="s">
        <v>1452</v>
      </c>
    </row>
    <row r="324" spans="1:9" s="247" customFormat="1" ht="15" hidden="1" outlineLevel="1">
      <c r="A324" s="231"/>
      <c r="B324" s="204"/>
      <c r="C324" s="204"/>
      <c r="D324" s="203"/>
      <c r="E324" s="203"/>
      <c r="F324" s="203"/>
      <c r="G324" s="207" t="s">
        <v>1465</v>
      </c>
      <c r="H324" s="208">
        <f>SUM(H323)</f>
        <v>0</v>
      </c>
      <c r="I324" s="210"/>
    </row>
    <row r="325" spans="1:10" s="173" customFormat="1" ht="15" collapsed="1">
      <c r="A325" s="174"/>
      <c r="B325" s="175"/>
      <c r="C325" s="175"/>
      <c r="D325" s="176"/>
      <c r="E325" s="176"/>
      <c r="F325" s="176"/>
      <c r="G325" s="201"/>
      <c r="H325" s="177"/>
      <c r="I325" s="172"/>
      <c r="J325" s="178"/>
    </row>
    <row r="326" spans="1:10" s="173" customFormat="1" ht="15">
      <c r="A326" s="174">
        <v>42796</v>
      </c>
      <c r="B326" s="175" t="s">
        <v>91</v>
      </c>
      <c r="C326" s="175" t="s">
        <v>72</v>
      </c>
      <c r="D326" s="176" t="s">
        <v>1627</v>
      </c>
      <c r="E326" s="176"/>
      <c r="F326" s="176"/>
      <c r="G326" s="201"/>
      <c r="H326" s="177">
        <v>750000</v>
      </c>
      <c r="I326" s="172"/>
      <c r="J326" s="178" t="s">
        <v>1628</v>
      </c>
    </row>
    <row r="327" spans="1:10" s="173" customFormat="1" ht="15">
      <c r="A327" s="168">
        <v>42901</v>
      </c>
      <c r="B327" s="169" t="s">
        <v>91</v>
      </c>
      <c r="C327" s="169" t="s">
        <v>72</v>
      </c>
      <c r="D327" s="170" t="s">
        <v>1219</v>
      </c>
      <c r="E327" s="170"/>
      <c r="F327" s="170"/>
      <c r="G327" s="170"/>
      <c r="H327" s="171">
        <v>902693</v>
      </c>
      <c r="I327" s="172"/>
      <c r="J327" s="178" t="s">
        <v>463</v>
      </c>
    </row>
    <row r="328" spans="1:9" s="173" customFormat="1" ht="15">
      <c r="A328" s="174"/>
      <c r="B328" s="175"/>
      <c r="C328" s="175"/>
      <c r="D328" s="176"/>
      <c r="E328" s="176"/>
      <c r="F328" s="176"/>
      <c r="G328" s="201" t="s">
        <v>713</v>
      </c>
      <c r="H328" s="177">
        <f>SUM(H326:H327)</f>
        <v>1652693</v>
      </c>
      <c r="I328" s="172"/>
    </row>
    <row r="329" spans="1:9" s="173" customFormat="1" ht="15">
      <c r="A329" s="174"/>
      <c r="B329" s="175"/>
      <c r="C329" s="175"/>
      <c r="D329" s="176"/>
      <c r="E329" s="176"/>
      <c r="F329" s="176"/>
      <c r="G329" s="201"/>
      <c r="H329" s="177"/>
      <c r="I329" s="172"/>
    </row>
    <row r="330" spans="1:10" s="173" customFormat="1" ht="15">
      <c r="A330" s="168">
        <v>42943</v>
      </c>
      <c r="B330" s="169" t="s">
        <v>91</v>
      </c>
      <c r="C330" s="169" t="s">
        <v>1691</v>
      </c>
      <c r="D330" s="170" t="s">
        <v>1694</v>
      </c>
      <c r="E330" s="170"/>
      <c r="F330" s="170"/>
      <c r="G330" s="170"/>
      <c r="H330" s="171">
        <v>1165000</v>
      </c>
      <c r="I330" s="172"/>
      <c r="J330" s="178" t="s">
        <v>104</v>
      </c>
    </row>
    <row r="331" spans="1:9" s="173" customFormat="1" ht="15">
      <c r="A331" s="174"/>
      <c r="B331" s="175"/>
      <c r="C331" s="175"/>
      <c r="D331" s="176"/>
      <c r="E331" s="176"/>
      <c r="F331" s="176"/>
      <c r="G331" s="201" t="s">
        <v>1362</v>
      </c>
      <c r="H331" s="177">
        <f>SUM(H330)</f>
        <v>1165000</v>
      </c>
      <c r="I331" s="172"/>
    </row>
    <row r="332" spans="1:9" s="247" customFormat="1" ht="15" hidden="1" outlineLevel="1">
      <c r="A332" s="231"/>
      <c r="B332" s="204"/>
      <c r="C332" s="204"/>
      <c r="D332" s="203"/>
      <c r="E332" s="203"/>
      <c r="F332" s="203"/>
      <c r="G332" s="207"/>
      <c r="H332" s="208"/>
      <c r="I332" s="210"/>
    </row>
    <row r="333" spans="1:10" s="247" customFormat="1" ht="15" hidden="1" outlineLevel="1">
      <c r="A333" s="234">
        <v>42047</v>
      </c>
      <c r="B333" s="205" t="s">
        <v>91</v>
      </c>
      <c r="C333" s="205" t="s">
        <v>89</v>
      </c>
      <c r="D333" s="202" t="s">
        <v>4</v>
      </c>
      <c r="E333" s="202"/>
      <c r="F333" s="202"/>
      <c r="G333" s="202"/>
      <c r="H333" s="206">
        <v>0</v>
      </c>
      <c r="I333" s="210"/>
      <c r="J333" s="247" t="s">
        <v>90</v>
      </c>
    </row>
    <row r="334" spans="1:9" s="247" customFormat="1" ht="15" hidden="1" outlineLevel="1">
      <c r="A334" s="231"/>
      <c r="B334" s="204"/>
      <c r="C334" s="204"/>
      <c r="D334" s="203"/>
      <c r="E334" s="203"/>
      <c r="F334" s="203"/>
      <c r="G334" s="207" t="s">
        <v>125</v>
      </c>
      <c r="H334" s="208">
        <f>SUM(H333)</f>
        <v>0</v>
      </c>
      <c r="I334" s="210"/>
    </row>
    <row r="335" spans="1:9" s="247" customFormat="1" ht="15" hidden="1" outlineLevel="1">
      <c r="A335" s="231"/>
      <c r="B335" s="204"/>
      <c r="C335" s="204"/>
      <c r="D335" s="203"/>
      <c r="E335" s="203"/>
      <c r="F335" s="203"/>
      <c r="G335" s="207"/>
      <c r="H335" s="208"/>
      <c r="I335" s="210"/>
    </row>
    <row r="336" spans="1:10" s="247" customFormat="1" ht="15" hidden="1" outlineLevel="1">
      <c r="A336" s="231">
        <v>42370</v>
      </c>
      <c r="B336" s="204" t="s">
        <v>91</v>
      </c>
      <c r="C336" s="204" t="s">
        <v>182</v>
      </c>
      <c r="D336" s="203" t="s">
        <v>201</v>
      </c>
      <c r="E336" s="203"/>
      <c r="F336" s="203"/>
      <c r="G336" s="207"/>
      <c r="H336" s="208">
        <v>0</v>
      </c>
      <c r="I336" s="210"/>
      <c r="J336" s="200" t="s">
        <v>192</v>
      </c>
    </row>
    <row r="337" spans="1:10" s="247" customFormat="1" ht="15" hidden="1" outlineLevel="1">
      <c r="A337" s="234">
        <v>42370</v>
      </c>
      <c r="B337" s="205" t="s">
        <v>91</v>
      </c>
      <c r="C337" s="205" t="s">
        <v>182</v>
      </c>
      <c r="D337" s="202" t="s">
        <v>202</v>
      </c>
      <c r="E337" s="202"/>
      <c r="F337" s="202"/>
      <c r="G337" s="222"/>
      <c r="H337" s="206">
        <v>0</v>
      </c>
      <c r="I337" s="210"/>
      <c r="J337" s="200" t="s">
        <v>192</v>
      </c>
    </row>
    <row r="338" spans="1:9" s="247" customFormat="1" ht="15" hidden="1" outlineLevel="1">
      <c r="A338" s="231"/>
      <c r="B338" s="204"/>
      <c r="C338" s="204"/>
      <c r="D338" s="203"/>
      <c r="E338" s="203"/>
      <c r="F338" s="203"/>
      <c r="G338" s="207" t="s">
        <v>201</v>
      </c>
      <c r="H338" s="208">
        <f>SUM(H336:H337)</f>
        <v>0</v>
      </c>
      <c r="I338" s="210"/>
    </row>
    <row r="339" spans="1:9" s="247" customFormat="1" ht="15" hidden="1" outlineLevel="1">
      <c r="A339" s="231"/>
      <c r="B339" s="204"/>
      <c r="C339" s="204"/>
      <c r="D339" s="203"/>
      <c r="E339" s="203"/>
      <c r="F339" s="203"/>
      <c r="G339" s="207"/>
      <c r="H339" s="208"/>
      <c r="I339" s="210"/>
    </row>
    <row r="340" spans="1:10" s="247" customFormat="1" ht="15" hidden="1" outlineLevel="1" collapsed="1">
      <c r="A340" s="231">
        <v>42717</v>
      </c>
      <c r="B340" s="204" t="s">
        <v>91</v>
      </c>
      <c r="C340" s="204" t="s">
        <v>489</v>
      </c>
      <c r="D340" s="203" t="s">
        <v>1451</v>
      </c>
      <c r="E340" s="203"/>
      <c r="F340" s="203"/>
      <c r="G340" s="203"/>
      <c r="H340" s="208">
        <v>0</v>
      </c>
      <c r="I340" s="210"/>
      <c r="J340" s="247" t="s">
        <v>1452</v>
      </c>
    </row>
    <row r="341" spans="1:10" s="247" customFormat="1" ht="15" hidden="1" outlineLevel="1">
      <c r="A341" s="231">
        <v>42717</v>
      </c>
      <c r="B341" s="204" t="s">
        <v>91</v>
      </c>
      <c r="C341" s="204" t="s">
        <v>1319</v>
      </c>
      <c r="D341" s="203" t="s">
        <v>1453</v>
      </c>
      <c r="E341" s="203"/>
      <c r="F341" s="203"/>
      <c r="G341" s="203"/>
      <c r="H341" s="208">
        <v>0</v>
      </c>
      <c r="I341" s="210"/>
      <c r="J341" s="247" t="s">
        <v>1452</v>
      </c>
    </row>
    <row r="342" spans="1:10" s="247" customFormat="1" ht="15" hidden="1" outlineLevel="1">
      <c r="A342" s="231">
        <v>42717</v>
      </c>
      <c r="B342" s="204" t="s">
        <v>91</v>
      </c>
      <c r="C342" s="204" t="s">
        <v>1455</v>
      </c>
      <c r="D342" s="203" t="s">
        <v>1456</v>
      </c>
      <c r="E342" s="203"/>
      <c r="F342" s="203"/>
      <c r="G342" s="203"/>
      <c r="H342" s="208">
        <v>0</v>
      </c>
      <c r="I342" s="210"/>
      <c r="J342" s="247" t="s">
        <v>1452</v>
      </c>
    </row>
    <row r="343" spans="1:10" s="247" customFormat="1" ht="15" hidden="1" outlineLevel="1">
      <c r="A343" s="231">
        <v>42717</v>
      </c>
      <c r="B343" s="204" t="s">
        <v>91</v>
      </c>
      <c r="C343" s="204" t="s">
        <v>78</v>
      </c>
      <c r="D343" s="203" t="s">
        <v>1454</v>
      </c>
      <c r="E343" s="203"/>
      <c r="F343" s="203"/>
      <c r="G343" s="203"/>
      <c r="H343" s="208">
        <v>0</v>
      </c>
      <c r="I343" s="210"/>
      <c r="J343" s="247" t="s">
        <v>1452</v>
      </c>
    </row>
    <row r="344" spans="1:10" s="247" customFormat="1" ht="15" hidden="1" outlineLevel="1">
      <c r="A344" s="231">
        <v>42600</v>
      </c>
      <c r="B344" s="204" t="s">
        <v>91</v>
      </c>
      <c r="C344" s="204" t="s">
        <v>78</v>
      </c>
      <c r="D344" s="203" t="s">
        <v>748</v>
      </c>
      <c r="E344" s="203"/>
      <c r="F344" s="203"/>
      <c r="G344" s="203"/>
      <c r="H344" s="206">
        <v>0</v>
      </c>
      <c r="I344" s="210"/>
      <c r="J344" s="200" t="s">
        <v>969</v>
      </c>
    </row>
    <row r="345" spans="1:9" s="247" customFormat="1" ht="15" hidden="1" outlineLevel="1">
      <c r="A345" s="231"/>
      <c r="B345" s="204"/>
      <c r="C345" s="204"/>
      <c r="D345" s="203"/>
      <c r="E345" s="203"/>
      <c r="F345" s="203"/>
      <c r="G345" s="207" t="s">
        <v>674</v>
      </c>
      <c r="H345" s="208">
        <f>SUM(H340:H344)</f>
        <v>0</v>
      </c>
      <c r="I345" s="210"/>
    </row>
    <row r="346" spans="1:9" s="173" customFormat="1" ht="15" collapsed="1">
      <c r="A346" s="174"/>
      <c r="B346" s="175"/>
      <c r="C346" s="175"/>
      <c r="D346" s="176"/>
      <c r="E346" s="176"/>
      <c r="F346" s="176"/>
      <c r="G346" s="201"/>
      <c r="H346" s="177"/>
      <c r="I346" s="172"/>
    </row>
    <row r="347" spans="1:9" s="173" customFormat="1" ht="15">
      <c r="A347" s="174" t="s">
        <v>1</v>
      </c>
      <c r="B347" s="175"/>
      <c r="C347" s="175"/>
      <c r="D347" s="176"/>
      <c r="E347" s="176"/>
      <c r="F347" s="176"/>
      <c r="G347" s="201" t="s">
        <v>203</v>
      </c>
      <c r="H347" s="177">
        <f>H324+H328+H331+H334+H338+H345</f>
        <v>2817693</v>
      </c>
      <c r="I347" s="172"/>
    </row>
    <row r="348" spans="1:9" s="247" customFormat="1" ht="15" hidden="1" outlineLevel="1">
      <c r="A348" s="231"/>
      <c r="B348" s="204"/>
      <c r="C348" s="204"/>
      <c r="D348" s="203"/>
      <c r="E348" s="203"/>
      <c r="F348" s="203"/>
      <c r="G348" s="207"/>
      <c r="H348" s="208"/>
      <c r="I348" s="210"/>
    </row>
    <row r="349" spans="1:10" s="247" customFormat="1" ht="15" hidden="1" outlineLevel="1">
      <c r="A349" s="231">
        <v>42488</v>
      </c>
      <c r="B349" s="204" t="s">
        <v>785</v>
      </c>
      <c r="C349" s="204" t="s">
        <v>72</v>
      </c>
      <c r="D349" s="203" t="s">
        <v>1264</v>
      </c>
      <c r="E349" s="203"/>
      <c r="F349" s="203"/>
      <c r="G349" s="207"/>
      <c r="H349" s="208">
        <v>0</v>
      </c>
      <c r="I349" s="210"/>
      <c r="J349" s="247" t="s">
        <v>75</v>
      </c>
    </row>
    <row r="350" spans="1:10" s="247" customFormat="1" ht="15" hidden="1" outlineLevel="1">
      <c r="A350" s="231">
        <v>42642</v>
      </c>
      <c r="B350" s="204" t="s">
        <v>785</v>
      </c>
      <c r="C350" s="204" t="s">
        <v>72</v>
      </c>
      <c r="D350" s="203" t="s">
        <v>1265</v>
      </c>
      <c r="E350" s="203"/>
      <c r="F350" s="203"/>
      <c r="G350" s="207"/>
      <c r="H350" s="208">
        <v>0</v>
      </c>
      <c r="I350" s="210"/>
      <c r="J350" s="199" t="s">
        <v>717</v>
      </c>
    </row>
    <row r="351" spans="1:10" s="247" customFormat="1" ht="15" hidden="1" outlineLevel="1">
      <c r="A351" s="234">
        <v>42661</v>
      </c>
      <c r="B351" s="205" t="s">
        <v>785</v>
      </c>
      <c r="C351" s="205" t="s">
        <v>72</v>
      </c>
      <c r="D351" s="202" t="s">
        <v>1257</v>
      </c>
      <c r="E351" s="202"/>
      <c r="F351" s="202"/>
      <c r="G351" s="222"/>
      <c r="H351" s="206">
        <v>0</v>
      </c>
      <c r="I351" s="210"/>
      <c r="J351" s="199" t="s">
        <v>1466</v>
      </c>
    </row>
    <row r="352" spans="1:9" s="247" customFormat="1" ht="15" hidden="1" outlineLevel="1">
      <c r="A352" s="231"/>
      <c r="B352" s="204"/>
      <c r="C352" s="204"/>
      <c r="D352" s="203"/>
      <c r="E352" s="203"/>
      <c r="F352" s="203"/>
      <c r="G352" s="207" t="s">
        <v>786</v>
      </c>
      <c r="H352" s="208">
        <f>SUM(H349:H351)</f>
        <v>0</v>
      </c>
      <c r="I352" s="210"/>
    </row>
    <row r="353" spans="1:9" s="247" customFormat="1" ht="15" hidden="1" outlineLevel="1">
      <c r="A353" s="231"/>
      <c r="B353" s="204"/>
      <c r="C353" s="204"/>
      <c r="D353" s="203"/>
      <c r="E353" s="203"/>
      <c r="F353" s="203"/>
      <c r="G353" s="207"/>
      <c r="H353" s="208"/>
      <c r="I353" s="210"/>
    </row>
    <row r="354" spans="1:10" s="247" customFormat="1" ht="15" hidden="1" outlineLevel="1">
      <c r="A354" s="234">
        <v>42346</v>
      </c>
      <c r="B354" s="205" t="s">
        <v>787</v>
      </c>
      <c r="C354" s="205" t="s">
        <v>72</v>
      </c>
      <c r="D354" s="202" t="s">
        <v>788</v>
      </c>
      <c r="E354" s="202"/>
      <c r="F354" s="202"/>
      <c r="G354" s="222"/>
      <c r="H354" s="206">
        <v>0</v>
      </c>
      <c r="I354" s="210"/>
      <c r="J354" s="199" t="s">
        <v>155</v>
      </c>
    </row>
    <row r="355" spans="1:9" s="247" customFormat="1" ht="15" hidden="1" outlineLevel="1">
      <c r="A355" s="231"/>
      <c r="B355" s="204"/>
      <c r="C355" s="204"/>
      <c r="D355" s="203"/>
      <c r="E355" s="203"/>
      <c r="F355" s="203"/>
      <c r="G355" s="207" t="s">
        <v>789</v>
      </c>
      <c r="H355" s="208">
        <f>SUM(H354)</f>
        <v>0</v>
      </c>
      <c r="I355" s="210"/>
    </row>
    <row r="356" spans="1:9" s="247" customFormat="1" ht="15" hidden="1" outlineLevel="1">
      <c r="A356" s="231"/>
      <c r="B356" s="204"/>
      <c r="C356" s="204"/>
      <c r="D356" s="203"/>
      <c r="E356" s="203"/>
      <c r="F356" s="203"/>
      <c r="G356" s="207"/>
      <c r="H356" s="208"/>
      <c r="I356" s="210"/>
    </row>
    <row r="357" spans="1:10" s="247" customFormat="1" ht="15" hidden="1" outlineLevel="1" collapsed="1">
      <c r="A357" s="234">
        <v>42717</v>
      </c>
      <c r="B357" s="205" t="s">
        <v>790</v>
      </c>
      <c r="C357" s="205" t="s">
        <v>72</v>
      </c>
      <c r="D357" s="202" t="s">
        <v>1462</v>
      </c>
      <c r="E357" s="202"/>
      <c r="F357" s="202"/>
      <c r="G357" s="222"/>
      <c r="H357" s="206">
        <v>0</v>
      </c>
      <c r="I357" s="210"/>
      <c r="J357" s="199" t="s">
        <v>1463</v>
      </c>
    </row>
    <row r="358" spans="1:9" s="247" customFormat="1" ht="15" hidden="1" outlineLevel="1">
      <c r="A358" s="231"/>
      <c r="B358" s="204"/>
      <c r="C358" s="204"/>
      <c r="D358" s="203"/>
      <c r="E358" s="203"/>
      <c r="F358" s="203"/>
      <c r="G358" s="207" t="s">
        <v>791</v>
      </c>
      <c r="H358" s="208">
        <f>SUM(H357)</f>
        <v>0</v>
      </c>
      <c r="I358" s="210"/>
    </row>
    <row r="359" spans="1:9" s="247" customFormat="1" ht="15" hidden="1" outlineLevel="1">
      <c r="A359" s="231"/>
      <c r="B359" s="204"/>
      <c r="C359" s="204"/>
      <c r="D359" s="203"/>
      <c r="E359" s="203"/>
      <c r="F359" s="203"/>
      <c r="G359" s="207"/>
      <c r="H359" s="208"/>
      <c r="I359" s="210"/>
    </row>
    <row r="360" spans="1:10" s="247" customFormat="1" ht="15" hidden="1" outlineLevel="1">
      <c r="A360" s="234">
        <v>42717</v>
      </c>
      <c r="B360" s="205" t="s">
        <v>790</v>
      </c>
      <c r="C360" s="205" t="s">
        <v>1457</v>
      </c>
      <c r="D360" s="202" t="s">
        <v>1458</v>
      </c>
      <c r="E360" s="202"/>
      <c r="F360" s="202"/>
      <c r="G360" s="222"/>
      <c r="H360" s="206">
        <v>0</v>
      </c>
      <c r="I360" s="210"/>
      <c r="J360" s="199" t="s">
        <v>1460</v>
      </c>
    </row>
    <row r="361" spans="1:9" s="247" customFormat="1" ht="15" hidden="1" outlineLevel="1">
      <c r="A361" s="231"/>
      <c r="B361" s="204"/>
      <c r="C361" s="204"/>
      <c r="D361" s="203"/>
      <c r="E361" s="203"/>
      <c r="F361" s="203"/>
      <c r="G361" s="207" t="s">
        <v>1459</v>
      </c>
      <c r="H361" s="208">
        <f>SUM(H360)</f>
        <v>0</v>
      </c>
      <c r="I361" s="210"/>
    </row>
    <row r="362" spans="1:9" s="247" customFormat="1" ht="15" hidden="1" outlineLevel="1">
      <c r="A362" s="231"/>
      <c r="B362" s="204"/>
      <c r="C362" s="204"/>
      <c r="D362" s="203"/>
      <c r="E362" s="203"/>
      <c r="F362" s="203"/>
      <c r="G362" s="207"/>
      <c r="H362" s="208"/>
      <c r="I362" s="210"/>
    </row>
    <row r="363" spans="1:9" s="247" customFormat="1" ht="15" hidden="1" outlineLevel="1">
      <c r="A363" s="231"/>
      <c r="B363" s="204"/>
      <c r="C363" s="204"/>
      <c r="D363" s="203"/>
      <c r="E363" s="203"/>
      <c r="F363" s="203"/>
      <c r="G363" s="207" t="s">
        <v>1461</v>
      </c>
      <c r="H363" s="208">
        <f>H358+H361</f>
        <v>0</v>
      </c>
      <c r="I363" s="210"/>
    </row>
    <row r="364" spans="1:9" s="247" customFormat="1" ht="15" hidden="1" outlineLevel="1">
      <c r="A364" s="231"/>
      <c r="B364" s="204"/>
      <c r="C364" s="204"/>
      <c r="D364" s="203"/>
      <c r="E364" s="203"/>
      <c r="F364" s="203"/>
      <c r="G364" s="207"/>
      <c r="H364" s="208"/>
      <c r="I364" s="210"/>
    </row>
    <row r="365" spans="1:10" s="247" customFormat="1" ht="15" hidden="1" outlineLevel="1">
      <c r="A365" s="234">
        <v>42005</v>
      </c>
      <c r="B365" s="205" t="s">
        <v>204</v>
      </c>
      <c r="C365" s="205" t="s">
        <v>182</v>
      </c>
      <c r="D365" s="202" t="s">
        <v>205</v>
      </c>
      <c r="E365" s="202"/>
      <c r="F365" s="202"/>
      <c r="G365" s="222"/>
      <c r="H365" s="206">
        <v>0</v>
      </c>
      <c r="I365" s="210"/>
      <c r="J365" s="200" t="s">
        <v>192</v>
      </c>
    </row>
    <row r="366" spans="1:9" s="247" customFormat="1" ht="15" hidden="1" outlineLevel="1">
      <c r="A366" s="231"/>
      <c r="B366" s="204"/>
      <c r="C366" s="204"/>
      <c r="D366" s="203"/>
      <c r="E366" s="203"/>
      <c r="F366" s="203"/>
      <c r="G366" s="207" t="s">
        <v>205</v>
      </c>
      <c r="H366" s="208">
        <f>SUM(H365)</f>
        <v>0</v>
      </c>
      <c r="I366" s="210"/>
    </row>
    <row r="367" spans="1:9" s="247" customFormat="1" ht="15" hidden="1" outlineLevel="1">
      <c r="A367" s="231"/>
      <c r="B367" s="204"/>
      <c r="C367" s="204"/>
      <c r="D367" s="203"/>
      <c r="E367" s="203"/>
      <c r="F367" s="203"/>
      <c r="G367" s="207"/>
      <c r="H367" s="208"/>
      <c r="I367" s="210"/>
    </row>
    <row r="368" spans="1:10" s="199" customFormat="1" ht="15" hidden="1" outlineLevel="1">
      <c r="A368" s="212">
        <v>42370</v>
      </c>
      <c r="B368" s="213" t="s">
        <v>1158</v>
      </c>
      <c r="C368" s="220" t="s">
        <v>1149</v>
      </c>
      <c r="D368" s="215" t="s">
        <v>1157</v>
      </c>
      <c r="E368" s="215"/>
      <c r="F368" s="215"/>
      <c r="G368" s="222"/>
      <c r="H368" s="206">
        <v>0</v>
      </c>
      <c r="I368" s="216"/>
      <c r="J368" s="199" t="s">
        <v>485</v>
      </c>
    </row>
    <row r="369" spans="1:9" s="199" customFormat="1" ht="15" hidden="1" outlineLevel="1">
      <c r="A369" s="217"/>
      <c r="B369" s="218"/>
      <c r="C369" s="221"/>
      <c r="D369" s="216"/>
      <c r="E369" s="216"/>
      <c r="F369" s="216"/>
      <c r="G369" s="207" t="s">
        <v>1154</v>
      </c>
      <c r="H369" s="208">
        <f>SUM(H368)</f>
        <v>0</v>
      </c>
      <c r="I369" s="216"/>
    </row>
    <row r="370" spans="1:9" s="247" customFormat="1" ht="15" hidden="1" outlineLevel="1">
      <c r="A370" s="231"/>
      <c r="B370" s="204"/>
      <c r="C370" s="204"/>
      <c r="D370" s="203"/>
      <c r="E370" s="203"/>
      <c r="F370" s="203"/>
      <c r="G370" s="207"/>
      <c r="H370" s="208"/>
      <c r="I370" s="210"/>
    </row>
    <row r="371" spans="1:10" s="247" customFormat="1" ht="15" hidden="1" outlineLevel="1">
      <c r="A371" s="231">
        <v>42312</v>
      </c>
      <c r="B371" s="204" t="s">
        <v>206</v>
      </c>
      <c r="C371" s="204" t="s">
        <v>72</v>
      </c>
      <c r="D371" s="203" t="s">
        <v>768</v>
      </c>
      <c r="E371" s="203"/>
      <c r="F371" s="203"/>
      <c r="G371" s="207"/>
      <c r="H371" s="208">
        <v>0</v>
      </c>
      <c r="I371" s="210"/>
      <c r="J371" s="199" t="s">
        <v>737</v>
      </c>
    </row>
    <row r="372" spans="1:10" s="247" customFormat="1" ht="15" hidden="1" outlineLevel="1">
      <c r="A372" s="234">
        <v>42346</v>
      </c>
      <c r="B372" s="205" t="s">
        <v>206</v>
      </c>
      <c r="C372" s="205" t="s">
        <v>72</v>
      </c>
      <c r="D372" s="202" t="s">
        <v>792</v>
      </c>
      <c r="E372" s="202"/>
      <c r="F372" s="202"/>
      <c r="G372" s="222"/>
      <c r="H372" s="206">
        <v>0</v>
      </c>
      <c r="I372" s="210"/>
      <c r="J372" s="199" t="s">
        <v>155</v>
      </c>
    </row>
    <row r="373" spans="1:9" s="247" customFormat="1" ht="15" hidden="1" outlineLevel="1">
      <c r="A373" s="231"/>
      <c r="B373" s="204"/>
      <c r="C373" s="204"/>
      <c r="D373" s="203"/>
      <c r="E373" s="203"/>
      <c r="F373" s="203"/>
      <c r="G373" s="207" t="s">
        <v>769</v>
      </c>
      <c r="H373" s="208">
        <f>SUM(H371:H372)</f>
        <v>0</v>
      </c>
      <c r="I373" s="210"/>
    </row>
    <row r="374" spans="1:9" s="247" customFormat="1" ht="15" hidden="1" outlineLevel="1">
      <c r="A374" s="231"/>
      <c r="B374" s="204"/>
      <c r="C374" s="204"/>
      <c r="D374" s="203"/>
      <c r="E374" s="203"/>
      <c r="F374" s="203"/>
      <c r="G374" s="207"/>
      <c r="H374" s="208"/>
      <c r="I374" s="210"/>
    </row>
    <row r="375" spans="1:10" s="247" customFormat="1" ht="15" hidden="1" outlineLevel="1">
      <c r="A375" s="234">
        <v>42370</v>
      </c>
      <c r="B375" s="205" t="s">
        <v>206</v>
      </c>
      <c r="C375" s="205" t="s">
        <v>182</v>
      </c>
      <c r="D375" s="202" t="s">
        <v>207</v>
      </c>
      <c r="E375" s="202"/>
      <c r="F375" s="202"/>
      <c r="G375" s="222"/>
      <c r="H375" s="206">
        <v>0</v>
      </c>
      <c r="I375" s="210"/>
      <c r="J375" s="200" t="s">
        <v>192</v>
      </c>
    </row>
    <row r="376" spans="1:9" s="247" customFormat="1" ht="15" hidden="1" outlineLevel="1">
      <c r="A376" s="231"/>
      <c r="B376" s="204"/>
      <c r="C376" s="204"/>
      <c r="D376" s="203"/>
      <c r="E376" s="203"/>
      <c r="F376" s="203"/>
      <c r="G376" s="207" t="s">
        <v>211</v>
      </c>
      <c r="H376" s="208">
        <f>SUM(H375)</f>
        <v>0</v>
      </c>
      <c r="I376" s="210"/>
    </row>
    <row r="377" spans="1:9" s="247" customFormat="1" ht="15" hidden="1" outlineLevel="1">
      <c r="A377" s="231"/>
      <c r="B377" s="204"/>
      <c r="C377" s="204"/>
      <c r="D377" s="203"/>
      <c r="E377" s="203"/>
      <c r="F377" s="203"/>
      <c r="G377" s="207"/>
      <c r="H377" s="208"/>
      <c r="I377" s="210"/>
    </row>
    <row r="378" spans="1:10" s="247" customFormat="1" ht="15" hidden="1" outlineLevel="1" collapsed="1">
      <c r="A378" s="231">
        <v>42597</v>
      </c>
      <c r="B378" s="204" t="s">
        <v>206</v>
      </c>
      <c r="C378" s="204" t="s">
        <v>78</v>
      </c>
      <c r="D378" s="203" t="s">
        <v>1322</v>
      </c>
      <c r="E378" s="203"/>
      <c r="F378" s="203"/>
      <c r="G378" s="207"/>
      <c r="H378" s="208">
        <v>0</v>
      </c>
      <c r="I378" s="210"/>
      <c r="J378" s="247" t="s">
        <v>1275</v>
      </c>
    </row>
    <row r="379" spans="1:10" s="247" customFormat="1" ht="15" hidden="1" outlineLevel="1">
      <c r="A379" s="234">
        <v>42614</v>
      </c>
      <c r="B379" s="205" t="s">
        <v>206</v>
      </c>
      <c r="C379" s="205" t="s">
        <v>78</v>
      </c>
      <c r="D379" s="202" t="s">
        <v>1213</v>
      </c>
      <c r="E379" s="202"/>
      <c r="F379" s="202"/>
      <c r="G379" s="222"/>
      <c r="H379" s="206">
        <v>0</v>
      </c>
      <c r="I379" s="210"/>
      <c r="J379" s="200" t="s">
        <v>109</v>
      </c>
    </row>
    <row r="380" spans="1:9" s="247" customFormat="1" ht="15" hidden="1" outlineLevel="1">
      <c r="A380" s="231"/>
      <c r="B380" s="204"/>
      <c r="C380" s="204"/>
      <c r="D380" s="203"/>
      <c r="E380" s="203"/>
      <c r="F380" s="203"/>
      <c r="G380" s="207" t="s">
        <v>698</v>
      </c>
      <c r="H380" s="208">
        <f>SUM(H378:H379)</f>
        <v>0</v>
      </c>
      <c r="I380" s="210"/>
    </row>
    <row r="381" spans="1:9" s="247" customFormat="1" ht="15" hidden="1" outlineLevel="1">
      <c r="A381" s="231"/>
      <c r="B381" s="204"/>
      <c r="C381" s="204"/>
      <c r="D381" s="203"/>
      <c r="E381" s="203"/>
      <c r="F381" s="203"/>
      <c r="G381" s="207"/>
      <c r="H381" s="208"/>
      <c r="I381" s="210"/>
    </row>
    <row r="382" spans="1:9" s="247" customFormat="1" ht="15" hidden="1" outlineLevel="1">
      <c r="A382" s="231" t="s">
        <v>1</v>
      </c>
      <c r="B382" s="204"/>
      <c r="C382" s="204"/>
      <c r="D382" s="203"/>
      <c r="E382" s="203"/>
      <c r="F382" s="203"/>
      <c r="G382" s="207" t="s">
        <v>699</v>
      </c>
      <c r="H382" s="208">
        <f>H373+H376+H380</f>
        <v>0</v>
      </c>
      <c r="I382" s="210"/>
    </row>
    <row r="383" spans="1:9" s="247" customFormat="1" ht="15" hidden="1" outlineLevel="1">
      <c r="A383" s="231"/>
      <c r="B383" s="204"/>
      <c r="C383" s="204"/>
      <c r="D383" s="203"/>
      <c r="E383" s="203"/>
      <c r="F383" s="203"/>
      <c r="G383" s="207"/>
      <c r="H383" s="208"/>
      <c r="I383" s="210"/>
    </row>
    <row r="384" spans="1:10" s="247" customFormat="1" ht="15" hidden="1" outlineLevel="1" collapsed="1">
      <c r="A384" s="234">
        <v>42320</v>
      </c>
      <c r="B384" s="205" t="s">
        <v>741</v>
      </c>
      <c r="C384" s="205" t="s">
        <v>89</v>
      </c>
      <c r="D384" s="202" t="s">
        <v>742</v>
      </c>
      <c r="E384" s="202"/>
      <c r="F384" s="202"/>
      <c r="G384" s="222"/>
      <c r="H384" s="206">
        <v>0</v>
      </c>
      <c r="I384" s="210"/>
      <c r="J384" s="200" t="s">
        <v>86</v>
      </c>
    </row>
    <row r="385" spans="1:9" s="247" customFormat="1" ht="15" hidden="1" outlineLevel="1">
      <c r="A385" s="231"/>
      <c r="B385" s="204"/>
      <c r="C385" s="204"/>
      <c r="D385" s="203"/>
      <c r="E385" s="203"/>
      <c r="F385" s="203"/>
      <c r="G385" s="207" t="s">
        <v>115</v>
      </c>
      <c r="H385" s="208">
        <f>SUM(H384)</f>
        <v>0</v>
      </c>
      <c r="I385" s="210"/>
    </row>
    <row r="386" spans="1:9" s="247" customFormat="1" ht="15" hidden="1" outlineLevel="1">
      <c r="A386" s="231"/>
      <c r="B386" s="204"/>
      <c r="C386" s="204"/>
      <c r="D386" s="203"/>
      <c r="E386" s="203"/>
      <c r="F386" s="203"/>
      <c r="G386" s="207"/>
      <c r="H386" s="208"/>
      <c r="I386" s="210"/>
    </row>
    <row r="387" spans="1:10" s="247" customFormat="1" ht="15" hidden="1" outlineLevel="1">
      <c r="A387" s="234">
        <v>42886</v>
      </c>
      <c r="B387" s="205" t="s">
        <v>715</v>
      </c>
      <c r="C387" s="205" t="s">
        <v>1173</v>
      </c>
      <c r="D387" s="202" t="s">
        <v>1175</v>
      </c>
      <c r="E387" s="202"/>
      <c r="F387" s="202"/>
      <c r="G387" s="222"/>
      <c r="H387" s="206">
        <v>0</v>
      </c>
      <c r="I387" s="210"/>
      <c r="J387" s="200" t="s">
        <v>1417</v>
      </c>
    </row>
    <row r="388" spans="1:9" s="247" customFormat="1" ht="15" hidden="1" outlineLevel="1">
      <c r="A388" s="231"/>
      <c r="B388" s="204"/>
      <c r="C388" s="204"/>
      <c r="D388" s="203"/>
      <c r="E388" s="203"/>
      <c r="F388" s="203"/>
      <c r="G388" s="207" t="s">
        <v>716</v>
      </c>
      <c r="H388" s="208">
        <f>SUM(H387)</f>
        <v>0</v>
      </c>
      <c r="I388" s="210"/>
    </row>
    <row r="389" spans="1:9" s="247" customFormat="1" ht="15" hidden="1" outlineLevel="1">
      <c r="A389" s="231"/>
      <c r="B389" s="204"/>
      <c r="C389" s="204"/>
      <c r="D389" s="203"/>
      <c r="E389" s="203"/>
      <c r="F389" s="203"/>
      <c r="G389" s="207"/>
      <c r="H389" s="208"/>
      <c r="I389" s="210"/>
    </row>
    <row r="390" spans="1:10" s="199" customFormat="1" ht="15" hidden="1" outlineLevel="1">
      <c r="A390" s="217">
        <v>42886</v>
      </c>
      <c r="B390" s="218"/>
      <c r="C390" s="221"/>
      <c r="D390" s="216" t="s">
        <v>1183</v>
      </c>
      <c r="E390" s="216"/>
      <c r="F390" s="216"/>
      <c r="G390" s="207"/>
      <c r="H390" s="208">
        <v>0</v>
      </c>
      <c r="I390" s="216"/>
      <c r="J390" s="199" t="s">
        <v>1184</v>
      </c>
    </row>
    <row r="391" spans="1:9" s="199" customFormat="1" ht="15" hidden="1" outlineLevel="1">
      <c r="A391" s="217"/>
      <c r="B391" s="218"/>
      <c r="C391" s="221"/>
      <c r="D391" s="216"/>
      <c r="E391" s="216"/>
      <c r="F391" s="216"/>
      <c r="G391" s="207"/>
      <c r="H391" s="208"/>
      <c r="I391" s="216"/>
    </row>
    <row r="392" spans="1:10" s="199" customFormat="1" ht="15" hidden="1" outlineLevel="1">
      <c r="A392" s="217">
        <v>42370</v>
      </c>
      <c r="B392" s="218"/>
      <c r="C392" s="221"/>
      <c r="D392" s="216" t="s">
        <v>1185</v>
      </c>
      <c r="E392" s="216"/>
      <c r="F392" s="216"/>
      <c r="G392" s="207"/>
      <c r="H392" s="208">
        <v>0</v>
      </c>
      <c r="I392" s="216"/>
      <c r="J392" s="199" t="s">
        <v>145</v>
      </c>
    </row>
    <row r="393" spans="1:9" s="173" customFormat="1" ht="15" collapsed="1">
      <c r="A393" s="174"/>
      <c r="B393" s="175"/>
      <c r="C393" s="175"/>
      <c r="D393" s="176"/>
      <c r="E393" s="176"/>
      <c r="F393" s="176"/>
      <c r="G393" s="201"/>
      <c r="H393" s="177"/>
      <c r="I393" s="172"/>
    </row>
    <row r="394" spans="1:9" s="1" customFormat="1" ht="15" collapsed="1">
      <c r="A394" s="311" t="s">
        <v>123</v>
      </c>
      <c r="B394" s="311"/>
      <c r="C394" s="311"/>
      <c r="D394" s="311"/>
      <c r="E394" s="311"/>
      <c r="F394" s="311"/>
      <c r="G394" s="311"/>
      <c r="H394" s="277">
        <f>H224+H227+H230+H246+H258+H279+H292+H298+H321+H347+H352+H355+H363+H366+H369+H382+H385+H388</f>
        <v>17476844</v>
      </c>
      <c r="I394" s="172"/>
    </row>
    <row r="395" spans="1:9" s="1" customFormat="1" ht="15">
      <c r="A395" s="311" t="s">
        <v>123</v>
      </c>
      <c r="B395" s="311"/>
      <c r="C395" s="311"/>
      <c r="D395" s="311"/>
      <c r="E395" s="311"/>
      <c r="F395" s="311"/>
      <c r="G395" s="311"/>
      <c r="H395" s="277">
        <f>H394+H390+H392</f>
        <v>17476844</v>
      </c>
      <c r="I395" s="172"/>
    </row>
    <row r="396" spans="1:9" s="1" customFormat="1" ht="15">
      <c r="A396" s="176"/>
      <c r="B396" s="176"/>
      <c r="C396" s="176"/>
      <c r="D396" s="176"/>
      <c r="E396" s="176"/>
      <c r="F396" s="176"/>
      <c r="G396" s="176"/>
      <c r="H396" s="177"/>
      <c r="I396" s="176"/>
    </row>
    <row r="397" spans="1:9" s="1" customFormat="1" ht="15">
      <c r="A397" s="272" t="s">
        <v>54</v>
      </c>
      <c r="B397" s="268"/>
      <c r="C397" s="268"/>
      <c r="D397" s="268"/>
      <c r="E397" s="268"/>
      <c r="F397" s="268"/>
      <c r="G397" s="268"/>
      <c r="H397" s="269"/>
      <c r="I397" s="268"/>
    </row>
    <row r="398" spans="1:10" ht="15" hidden="1" outlineLevel="1">
      <c r="A398" s="234">
        <v>42866</v>
      </c>
      <c r="B398" s="205" t="s">
        <v>729</v>
      </c>
      <c r="C398" s="205" t="s">
        <v>87</v>
      </c>
      <c r="D398" s="202" t="s">
        <v>1560</v>
      </c>
      <c r="E398" s="202"/>
      <c r="F398" s="202"/>
      <c r="G398" s="202"/>
      <c r="H398" s="206">
        <v>0</v>
      </c>
      <c r="I398" s="233"/>
      <c r="J398" s="199" t="s">
        <v>1234</v>
      </c>
    </row>
    <row r="399" spans="1:9" ht="15" hidden="1" outlineLevel="1">
      <c r="A399" s="243"/>
      <c r="B399" s="244"/>
      <c r="C399" s="244"/>
      <c r="D399" s="236"/>
      <c r="E399" s="236"/>
      <c r="F399" s="236"/>
      <c r="G399" s="242" t="s">
        <v>1559</v>
      </c>
      <c r="H399" s="224">
        <f>SUM(H398)</f>
        <v>0</v>
      </c>
      <c r="I399" s="233"/>
    </row>
    <row r="400" spans="1:9" s="199" customFormat="1" ht="15" hidden="1" outlineLevel="1">
      <c r="A400" s="226"/>
      <c r="B400" s="226"/>
      <c r="C400" s="226"/>
      <c r="D400" s="226"/>
      <c r="E400" s="226"/>
      <c r="F400" s="226"/>
      <c r="G400" s="226"/>
      <c r="H400" s="237"/>
      <c r="I400" s="226"/>
    </row>
    <row r="401" spans="1:10" s="247" customFormat="1" ht="15" hidden="1" outlineLevel="1">
      <c r="A401" s="234">
        <v>42346</v>
      </c>
      <c r="B401" s="205" t="s">
        <v>208</v>
      </c>
      <c r="C401" s="205" t="s">
        <v>72</v>
      </c>
      <c r="D401" s="202" t="s">
        <v>793</v>
      </c>
      <c r="E401" s="202"/>
      <c r="F401" s="202"/>
      <c r="G401" s="222"/>
      <c r="H401" s="206">
        <v>0</v>
      </c>
      <c r="I401" s="210"/>
      <c r="J401" s="199" t="s">
        <v>155</v>
      </c>
    </row>
    <row r="402" spans="1:9" s="247" customFormat="1" ht="15" hidden="1" outlineLevel="1">
      <c r="A402" s="231"/>
      <c r="B402" s="204"/>
      <c r="C402" s="204"/>
      <c r="D402" s="203"/>
      <c r="E402" s="203"/>
      <c r="F402" s="203"/>
      <c r="G402" s="207" t="s">
        <v>794</v>
      </c>
      <c r="H402" s="208">
        <f>SUM(H401)</f>
        <v>0</v>
      </c>
      <c r="I402" s="210"/>
    </row>
    <row r="403" spans="1:9" s="247" customFormat="1" ht="15" hidden="1" outlineLevel="1">
      <c r="A403" s="231"/>
      <c r="B403" s="204"/>
      <c r="C403" s="204"/>
      <c r="D403" s="203"/>
      <c r="E403" s="203"/>
      <c r="F403" s="203"/>
      <c r="G403" s="207"/>
      <c r="H403" s="208"/>
      <c r="I403" s="210"/>
    </row>
    <row r="404" spans="1:10" s="247" customFormat="1" ht="15" hidden="1" outlineLevel="1">
      <c r="A404" s="234">
        <v>42802</v>
      </c>
      <c r="B404" s="205" t="s">
        <v>208</v>
      </c>
      <c r="C404" s="205" t="s">
        <v>1315</v>
      </c>
      <c r="D404" s="202" t="s">
        <v>1576</v>
      </c>
      <c r="E404" s="202"/>
      <c r="F404" s="202"/>
      <c r="G404" s="222"/>
      <c r="H404" s="206">
        <v>0</v>
      </c>
      <c r="I404" s="210"/>
      <c r="J404" s="199" t="s">
        <v>1573</v>
      </c>
    </row>
    <row r="405" spans="1:9" s="247" customFormat="1" ht="15" hidden="1" outlineLevel="1">
      <c r="A405" s="231"/>
      <c r="B405" s="204"/>
      <c r="C405" s="204"/>
      <c r="D405" s="203"/>
      <c r="E405" s="203"/>
      <c r="F405" s="203"/>
      <c r="G405" s="207" t="s">
        <v>1577</v>
      </c>
      <c r="H405" s="208">
        <f>SUM(H404)</f>
        <v>0</v>
      </c>
      <c r="I405" s="210"/>
    </row>
    <row r="406" spans="1:9" ht="15" hidden="1" outlineLevel="1">
      <c r="A406" s="211"/>
      <c r="B406" s="236"/>
      <c r="C406" s="236"/>
      <c r="D406" s="236"/>
      <c r="E406" s="236"/>
      <c r="F406" s="236"/>
      <c r="G406" s="236"/>
      <c r="H406" s="224"/>
      <c r="I406" s="236"/>
    </row>
    <row r="407" spans="1:10" ht="15" hidden="1" outlineLevel="1">
      <c r="A407" s="234">
        <v>42292</v>
      </c>
      <c r="B407" s="205" t="s">
        <v>208</v>
      </c>
      <c r="C407" s="205" t="s">
        <v>66</v>
      </c>
      <c r="D407" s="202" t="s">
        <v>730</v>
      </c>
      <c r="E407" s="202"/>
      <c r="F407" s="202"/>
      <c r="G407" s="202"/>
      <c r="H407" s="206">
        <v>0</v>
      </c>
      <c r="I407" s="233"/>
      <c r="J407" s="199" t="s">
        <v>731</v>
      </c>
    </row>
    <row r="408" spans="1:9" ht="15" hidden="1" outlineLevel="1">
      <c r="A408" s="243"/>
      <c r="B408" s="244"/>
      <c r="C408" s="244"/>
      <c r="D408" s="236"/>
      <c r="E408" s="236"/>
      <c r="F408" s="236"/>
      <c r="G408" s="242" t="s">
        <v>700</v>
      </c>
      <c r="H408" s="224">
        <f>SUM(H407)</f>
        <v>0</v>
      </c>
      <c r="I408" s="233"/>
    </row>
    <row r="409" spans="1:9" s="199" customFormat="1" ht="15" hidden="1" outlineLevel="1">
      <c r="A409" s="226"/>
      <c r="B409" s="226"/>
      <c r="C409" s="226"/>
      <c r="D409" s="226"/>
      <c r="E409" s="226"/>
      <c r="F409" s="226"/>
      <c r="G409" s="226"/>
      <c r="H409" s="237"/>
      <c r="I409" s="226"/>
    </row>
    <row r="410" spans="1:9" s="199" customFormat="1" ht="15" hidden="1" outlineLevel="1">
      <c r="A410" s="226"/>
      <c r="B410" s="226"/>
      <c r="C410" s="226"/>
      <c r="D410" s="226"/>
      <c r="E410" s="226"/>
      <c r="F410" s="226"/>
      <c r="G410" s="226"/>
      <c r="H410" s="237"/>
      <c r="I410" s="226"/>
    </row>
    <row r="411" spans="1:10" s="199" customFormat="1" ht="15" hidden="1" outlineLevel="1">
      <c r="A411" s="223">
        <v>42370</v>
      </c>
      <c r="B411" s="240" t="s">
        <v>208</v>
      </c>
      <c r="C411" s="241">
        <v>4430</v>
      </c>
      <c r="D411" s="226" t="s">
        <v>209</v>
      </c>
      <c r="E411" s="226"/>
      <c r="F411" s="226"/>
      <c r="G411" s="226"/>
      <c r="H411" s="208">
        <v>0</v>
      </c>
      <c r="I411" s="226"/>
      <c r="J411" s="199" t="s">
        <v>192</v>
      </c>
    </row>
    <row r="412" spans="1:10" s="199" customFormat="1" ht="15" hidden="1" outlineLevel="1">
      <c r="A412" s="228">
        <v>42370</v>
      </c>
      <c r="B412" s="213" t="s">
        <v>208</v>
      </c>
      <c r="C412" s="214">
        <v>4430</v>
      </c>
      <c r="D412" s="215" t="s">
        <v>210</v>
      </c>
      <c r="E412" s="215"/>
      <c r="F412" s="215"/>
      <c r="G412" s="215"/>
      <c r="H412" s="206">
        <v>0</v>
      </c>
      <c r="I412" s="226"/>
      <c r="J412" s="199" t="s">
        <v>192</v>
      </c>
    </row>
    <row r="413" spans="1:9" s="199" customFormat="1" ht="15" hidden="1" outlineLevel="1">
      <c r="A413" s="226"/>
      <c r="B413" s="240"/>
      <c r="C413" s="241"/>
      <c r="D413" s="226"/>
      <c r="E413" s="226"/>
      <c r="F413" s="226"/>
      <c r="G413" s="242" t="s">
        <v>209</v>
      </c>
      <c r="H413" s="208">
        <f>SUM(H411:H412)</f>
        <v>0</v>
      </c>
      <c r="I413" s="226"/>
    </row>
    <row r="414" spans="1:9" s="2" customFormat="1" ht="15" collapsed="1">
      <c r="A414" s="190"/>
      <c r="B414" s="189"/>
      <c r="C414" s="273"/>
      <c r="D414" s="190"/>
      <c r="E414" s="190"/>
      <c r="F414" s="190"/>
      <c r="G414" s="195"/>
      <c r="H414" s="177"/>
      <c r="I414" s="190"/>
    </row>
    <row r="415" spans="1:10" s="1" customFormat="1" ht="15">
      <c r="A415" s="168">
        <v>42736</v>
      </c>
      <c r="B415" s="169" t="s">
        <v>208</v>
      </c>
      <c r="C415" s="169" t="s">
        <v>1640</v>
      </c>
      <c r="D415" s="170" t="s">
        <v>1641</v>
      </c>
      <c r="E415" s="170"/>
      <c r="F415" s="170"/>
      <c r="G415" s="170"/>
      <c r="H415" s="171">
        <v>-630000</v>
      </c>
      <c r="I415" s="179"/>
      <c r="J415" s="1" t="s">
        <v>188</v>
      </c>
    </row>
    <row r="416" spans="1:9" s="1" customFormat="1" ht="15">
      <c r="A416" s="266"/>
      <c r="B416" s="267"/>
      <c r="C416" s="267"/>
      <c r="D416" s="268"/>
      <c r="E416" s="268"/>
      <c r="F416" s="268"/>
      <c r="G416" s="195" t="s">
        <v>700</v>
      </c>
      <c r="H416" s="269">
        <f>SUM(H415)</f>
        <v>-630000</v>
      </c>
      <c r="I416" s="179"/>
    </row>
    <row r="417" spans="1:9" s="1" customFormat="1" ht="15">
      <c r="A417" s="266"/>
      <c r="B417" s="267"/>
      <c r="C417" s="267"/>
      <c r="D417" s="268"/>
      <c r="E417" s="268"/>
      <c r="F417" s="268"/>
      <c r="G417" s="195"/>
      <c r="H417" s="269"/>
      <c r="I417" s="179"/>
    </row>
    <row r="418" spans="1:9" s="173" customFormat="1" ht="15">
      <c r="A418" s="174" t="s">
        <v>1</v>
      </c>
      <c r="B418" s="175"/>
      <c r="C418" s="175"/>
      <c r="D418" s="176"/>
      <c r="E418" s="176"/>
      <c r="F418" s="176"/>
      <c r="G418" s="201" t="s">
        <v>701</v>
      </c>
      <c r="H418" s="177">
        <f>H402+H405+H408+H413+H416</f>
        <v>-630000</v>
      </c>
      <c r="I418" s="172"/>
    </row>
    <row r="419" spans="1:9" s="173" customFormat="1" ht="15">
      <c r="A419" s="174"/>
      <c r="B419" s="175"/>
      <c r="C419" s="175"/>
      <c r="D419" s="176"/>
      <c r="E419" s="176"/>
      <c r="F419" s="176"/>
      <c r="G419" s="201"/>
      <c r="H419" s="177"/>
      <c r="I419" s="172"/>
    </row>
    <row r="420" spans="1:10" s="2" customFormat="1" ht="15" collapsed="1">
      <c r="A420" s="194">
        <v>42736</v>
      </c>
      <c r="B420" s="183" t="s">
        <v>1101</v>
      </c>
      <c r="C420" s="192">
        <v>4993</v>
      </c>
      <c r="D420" s="184" t="s">
        <v>1642</v>
      </c>
      <c r="E420" s="184"/>
      <c r="F420" s="184"/>
      <c r="G420" s="184"/>
      <c r="H420" s="171">
        <v>-145000</v>
      </c>
      <c r="I420" s="190"/>
      <c r="J420" s="2" t="s">
        <v>188</v>
      </c>
    </row>
    <row r="421" spans="1:9" s="2" customFormat="1" ht="15">
      <c r="A421" s="190"/>
      <c r="B421" s="189"/>
      <c r="C421" s="273"/>
      <c r="D421" s="190"/>
      <c r="E421" s="190"/>
      <c r="F421" s="190"/>
      <c r="G421" s="195" t="s">
        <v>1324</v>
      </c>
      <c r="H421" s="177">
        <f>SUM(H420:H420)</f>
        <v>-145000</v>
      </c>
      <c r="I421" s="190"/>
    </row>
    <row r="422" spans="1:9" s="247" customFormat="1" ht="15" hidden="1" outlineLevel="1">
      <c r="A422" s="231"/>
      <c r="B422" s="204"/>
      <c r="C422" s="204"/>
      <c r="D422" s="203"/>
      <c r="E422" s="203"/>
      <c r="F422" s="203"/>
      <c r="G422" s="207"/>
      <c r="H422" s="208"/>
      <c r="I422" s="210"/>
    </row>
    <row r="423" spans="1:10" s="199" customFormat="1" ht="15" hidden="1" outlineLevel="1">
      <c r="A423" s="228">
        <v>42370</v>
      </c>
      <c r="B423" s="213" t="s">
        <v>1101</v>
      </c>
      <c r="C423" s="214">
        <v>4430</v>
      </c>
      <c r="D423" s="215" t="s">
        <v>1102</v>
      </c>
      <c r="E423" s="215"/>
      <c r="F423" s="215"/>
      <c r="G423" s="215"/>
      <c r="H423" s="206">
        <v>0</v>
      </c>
      <c r="I423" s="226"/>
      <c r="J423" s="199" t="s">
        <v>192</v>
      </c>
    </row>
    <row r="424" spans="1:9" s="199" customFormat="1" ht="15" hidden="1" outlineLevel="1">
      <c r="A424" s="226"/>
      <c r="B424" s="240"/>
      <c r="C424" s="241"/>
      <c r="D424" s="226"/>
      <c r="E424" s="226"/>
      <c r="F424" s="226"/>
      <c r="G424" s="242" t="s">
        <v>1102</v>
      </c>
      <c r="H424" s="208">
        <f>SUM(H423:H423)</f>
        <v>0</v>
      </c>
      <c r="I424" s="226"/>
    </row>
    <row r="425" spans="1:9" s="2" customFormat="1" ht="15" collapsed="1">
      <c r="A425" s="190"/>
      <c r="B425" s="189"/>
      <c r="C425" s="273"/>
      <c r="D425" s="190"/>
      <c r="E425" s="190"/>
      <c r="F425" s="190"/>
      <c r="G425" s="195"/>
      <c r="H425" s="177"/>
      <c r="I425" s="190"/>
    </row>
    <row r="426" spans="1:9" s="2" customFormat="1" ht="15">
      <c r="A426" s="190"/>
      <c r="B426" s="189"/>
      <c r="C426" s="273"/>
      <c r="D426" s="190"/>
      <c r="E426" s="190"/>
      <c r="F426" s="190"/>
      <c r="G426" s="201" t="s">
        <v>1325</v>
      </c>
      <c r="H426" s="177">
        <f>H421+H424</f>
        <v>-145000</v>
      </c>
      <c r="I426" s="190"/>
    </row>
    <row r="427" spans="1:9" s="199" customFormat="1" ht="15" hidden="1" outlineLevel="1">
      <c r="A427" s="226"/>
      <c r="B427" s="240"/>
      <c r="C427" s="241"/>
      <c r="D427" s="226"/>
      <c r="E427" s="226"/>
      <c r="F427" s="226"/>
      <c r="G427" s="242"/>
      <c r="H427" s="208"/>
      <c r="I427" s="226"/>
    </row>
    <row r="428" spans="1:10" ht="15" hidden="1" outlineLevel="1">
      <c r="A428" s="234">
        <v>42278</v>
      </c>
      <c r="B428" s="205" t="s">
        <v>884</v>
      </c>
      <c r="C428" s="205" t="s">
        <v>489</v>
      </c>
      <c r="D428" s="202" t="s">
        <v>885</v>
      </c>
      <c r="E428" s="202"/>
      <c r="F428" s="202"/>
      <c r="G428" s="202"/>
      <c r="H428" s="206">
        <v>0</v>
      </c>
      <c r="I428" s="233" t="s">
        <v>886</v>
      </c>
      <c r="J428" s="199" t="s">
        <v>887</v>
      </c>
    </row>
    <row r="429" spans="1:9" ht="15" hidden="1" outlineLevel="1">
      <c r="A429" s="243"/>
      <c r="B429" s="244"/>
      <c r="C429" s="244"/>
      <c r="D429" s="236"/>
      <c r="E429" s="236"/>
      <c r="F429" s="236"/>
      <c r="G429" s="242" t="s">
        <v>888</v>
      </c>
      <c r="H429" s="224">
        <f>SUM(H428)</f>
        <v>0</v>
      </c>
      <c r="I429" s="233"/>
    </row>
    <row r="430" spans="1:9" s="199" customFormat="1" ht="15" hidden="1" outlineLevel="1">
      <c r="A430" s="226"/>
      <c r="B430" s="240"/>
      <c r="C430" s="241"/>
      <c r="D430" s="226"/>
      <c r="E430" s="226"/>
      <c r="F430" s="226"/>
      <c r="G430" s="242"/>
      <c r="H430" s="208"/>
      <c r="I430" s="226"/>
    </row>
    <row r="431" spans="1:10" s="199" customFormat="1" ht="15" hidden="1" outlineLevel="1">
      <c r="A431" s="223">
        <v>42370</v>
      </c>
      <c r="B431" s="240" t="s">
        <v>212</v>
      </c>
      <c r="C431" s="241">
        <v>4430</v>
      </c>
      <c r="D431" s="226" t="s">
        <v>213</v>
      </c>
      <c r="E431" s="226"/>
      <c r="F431" s="226"/>
      <c r="G431" s="242"/>
      <c r="H431" s="208">
        <v>0</v>
      </c>
      <c r="I431" s="226"/>
      <c r="J431" s="199" t="s">
        <v>192</v>
      </c>
    </row>
    <row r="432" spans="1:10" s="199" customFormat="1" ht="15" hidden="1" outlineLevel="1">
      <c r="A432" s="228">
        <v>42370</v>
      </c>
      <c r="B432" s="213" t="s">
        <v>212</v>
      </c>
      <c r="C432" s="214">
        <v>4430</v>
      </c>
      <c r="D432" s="215" t="s">
        <v>214</v>
      </c>
      <c r="E432" s="215"/>
      <c r="F432" s="215"/>
      <c r="G432" s="222"/>
      <c r="H432" s="206">
        <v>0</v>
      </c>
      <c r="I432" s="226"/>
      <c r="J432" s="199" t="s">
        <v>192</v>
      </c>
    </row>
    <row r="433" spans="1:9" s="199" customFormat="1" ht="15" hidden="1" outlineLevel="1">
      <c r="A433" s="226"/>
      <c r="B433" s="240"/>
      <c r="C433" s="241"/>
      <c r="D433" s="226"/>
      <c r="E433" s="226"/>
      <c r="F433" s="226"/>
      <c r="G433" s="242" t="s">
        <v>213</v>
      </c>
      <c r="H433" s="208">
        <f>SUM(H431:H432)</f>
        <v>0</v>
      </c>
      <c r="I433" s="226"/>
    </row>
    <row r="434" spans="1:9" s="199" customFormat="1" ht="15" hidden="1" outlineLevel="1">
      <c r="A434" s="226"/>
      <c r="B434" s="240"/>
      <c r="C434" s="241"/>
      <c r="D434" s="226"/>
      <c r="E434" s="226"/>
      <c r="F434" s="226"/>
      <c r="G434" s="242"/>
      <c r="H434" s="208"/>
      <c r="I434" s="226"/>
    </row>
    <row r="435" spans="1:10" s="199" customFormat="1" ht="15" hidden="1" outlineLevel="1">
      <c r="A435" s="228">
        <v>42370</v>
      </c>
      <c r="B435" s="213" t="s">
        <v>1103</v>
      </c>
      <c r="C435" s="214">
        <v>4430</v>
      </c>
      <c r="D435" s="215" t="s">
        <v>1104</v>
      </c>
      <c r="E435" s="215"/>
      <c r="F435" s="215"/>
      <c r="G435" s="222"/>
      <c r="H435" s="206">
        <v>0</v>
      </c>
      <c r="I435" s="226"/>
      <c r="J435" s="199" t="s">
        <v>192</v>
      </c>
    </row>
    <row r="436" spans="1:9" s="199" customFormat="1" ht="15" hidden="1" outlineLevel="1">
      <c r="A436" s="226"/>
      <c r="B436" s="240"/>
      <c r="C436" s="241"/>
      <c r="D436" s="226"/>
      <c r="E436" s="226"/>
      <c r="F436" s="226"/>
      <c r="G436" s="242" t="s">
        <v>1105</v>
      </c>
      <c r="H436" s="208">
        <f>SUM(H435:H435)</f>
        <v>0</v>
      </c>
      <c r="I436" s="226"/>
    </row>
    <row r="437" spans="1:9" s="199" customFormat="1" ht="15" hidden="1" outlineLevel="1">
      <c r="A437" s="226"/>
      <c r="B437" s="240"/>
      <c r="C437" s="241"/>
      <c r="D437" s="226"/>
      <c r="E437" s="226"/>
      <c r="F437" s="226"/>
      <c r="G437" s="242"/>
      <c r="H437" s="208"/>
      <c r="I437" s="226"/>
    </row>
    <row r="438" spans="1:10" ht="15" hidden="1" outlineLevel="1">
      <c r="A438" s="234">
        <v>42745</v>
      </c>
      <c r="B438" s="205" t="s">
        <v>898</v>
      </c>
      <c r="C438" s="205" t="s">
        <v>691</v>
      </c>
      <c r="D438" s="202" t="s">
        <v>1546</v>
      </c>
      <c r="E438" s="202"/>
      <c r="F438" s="202"/>
      <c r="G438" s="202"/>
      <c r="H438" s="206">
        <v>0</v>
      </c>
      <c r="I438" s="233" t="s">
        <v>1</v>
      </c>
      <c r="J438" s="199" t="s">
        <v>1545</v>
      </c>
    </row>
    <row r="439" spans="1:9" ht="15" hidden="1" outlineLevel="1">
      <c r="A439" s="243"/>
      <c r="B439" s="244"/>
      <c r="C439" s="244"/>
      <c r="D439" s="236"/>
      <c r="E439" s="236"/>
      <c r="F439" s="236"/>
      <c r="G439" s="242" t="s">
        <v>900</v>
      </c>
      <c r="H439" s="224">
        <f>SUM(H438)</f>
        <v>0</v>
      </c>
      <c r="I439" s="233"/>
    </row>
    <row r="440" spans="1:9" ht="15" hidden="1" outlineLevel="1">
      <c r="A440" s="243"/>
      <c r="B440" s="244"/>
      <c r="C440" s="244"/>
      <c r="D440" s="236"/>
      <c r="E440" s="236"/>
      <c r="F440" s="236"/>
      <c r="G440" s="242"/>
      <c r="H440" s="224"/>
      <c r="I440" s="233"/>
    </row>
    <row r="441" spans="1:10" ht="15" hidden="1" outlineLevel="1">
      <c r="A441" s="234">
        <v>42383</v>
      </c>
      <c r="B441" s="205" t="s">
        <v>898</v>
      </c>
      <c r="C441" s="205" t="s">
        <v>102</v>
      </c>
      <c r="D441" s="202" t="s">
        <v>968</v>
      </c>
      <c r="E441" s="202"/>
      <c r="F441" s="202"/>
      <c r="G441" s="202"/>
      <c r="H441" s="206">
        <v>0</v>
      </c>
      <c r="I441" s="233" t="s">
        <v>1</v>
      </c>
      <c r="J441" s="199" t="s">
        <v>969</v>
      </c>
    </row>
    <row r="442" spans="1:9" ht="15" hidden="1" outlineLevel="1">
      <c r="A442" s="243"/>
      <c r="B442" s="244"/>
      <c r="C442" s="244"/>
      <c r="D442" s="236"/>
      <c r="E442" s="236"/>
      <c r="F442" s="236"/>
      <c r="G442" s="242" t="s">
        <v>970</v>
      </c>
      <c r="H442" s="224">
        <f>SUM(H441)</f>
        <v>0</v>
      </c>
      <c r="I442" s="233"/>
    </row>
    <row r="443" spans="1:9" ht="15" hidden="1" outlineLevel="1">
      <c r="A443" s="243"/>
      <c r="B443" s="244"/>
      <c r="C443" s="244"/>
      <c r="D443" s="236"/>
      <c r="E443" s="236"/>
      <c r="F443" s="236"/>
      <c r="G443" s="242"/>
      <c r="H443" s="224"/>
      <c r="I443" s="233"/>
    </row>
    <row r="444" spans="1:9" ht="15" hidden="1" outlineLevel="1">
      <c r="A444" s="243"/>
      <c r="B444" s="244"/>
      <c r="C444" s="244"/>
      <c r="D444" s="236"/>
      <c r="E444" s="236"/>
      <c r="F444" s="236"/>
      <c r="G444" s="242" t="s">
        <v>971</v>
      </c>
      <c r="H444" s="224">
        <f>H439+H442</f>
        <v>0</v>
      </c>
      <c r="I444" s="233"/>
    </row>
    <row r="445" spans="1:9" s="2" customFormat="1" ht="15" collapsed="1">
      <c r="A445" s="190"/>
      <c r="B445" s="189"/>
      <c r="C445" s="273"/>
      <c r="D445" s="190"/>
      <c r="E445" s="190"/>
      <c r="F445" s="190"/>
      <c r="G445" s="195"/>
      <c r="H445" s="177"/>
      <c r="I445" s="190"/>
    </row>
    <row r="446" spans="1:10" s="1" customFormat="1" ht="15" collapsed="1">
      <c r="A446" s="168">
        <v>42929</v>
      </c>
      <c r="B446" s="169" t="s">
        <v>678</v>
      </c>
      <c r="C446" s="169" t="s">
        <v>87</v>
      </c>
      <c r="D446" s="170" t="s">
        <v>1682</v>
      </c>
      <c r="E446" s="170"/>
      <c r="F446" s="170"/>
      <c r="G446" s="170"/>
      <c r="H446" s="171">
        <v>1000000</v>
      </c>
      <c r="I446" s="179" t="s">
        <v>1681</v>
      </c>
      <c r="J446" s="1" t="s">
        <v>73</v>
      </c>
    </row>
    <row r="447" spans="1:9" s="1" customFormat="1" ht="15">
      <c r="A447" s="266"/>
      <c r="B447" s="267"/>
      <c r="C447" s="267"/>
      <c r="D447" s="268"/>
      <c r="E447" s="268"/>
      <c r="F447" s="268"/>
      <c r="G447" s="195" t="s">
        <v>679</v>
      </c>
      <c r="H447" s="269">
        <f>SUM(H446)</f>
        <v>1000000</v>
      </c>
      <c r="I447" s="179"/>
    </row>
    <row r="448" spans="1:9" s="199" customFormat="1" ht="15" hidden="1" outlineLevel="1">
      <c r="A448" s="226"/>
      <c r="B448" s="240"/>
      <c r="C448" s="241"/>
      <c r="D448" s="226"/>
      <c r="E448" s="226"/>
      <c r="F448" s="226"/>
      <c r="G448" s="226"/>
      <c r="H448" s="208" t="s">
        <v>1</v>
      </c>
      <c r="I448" s="226"/>
    </row>
    <row r="449" spans="1:10" ht="15" hidden="1" outlineLevel="1">
      <c r="A449" s="234">
        <v>42047</v>
      </c>
      <c r="B449" s="205" t="s">
        <v>93</v>
      </c>
      <c r="C449" s="205" t="s">
        <v>89</v>
      </c>
      <c r="D449" s="202" t="s">
        <v>94</v>
      </c>
      <c r="E449" s="202"/>
      <c r="F449" s="202"/>
      <c r="G449" s="202"/>
      <c r="H449" s="206">
        <v>0</v>
      </c>
      <c r="I449" s="233"/>
      <c r="J449" s="163" t="s">
        <v>90</v>
      </c>
    </row>
    <row r="450" spans="1:9" ht="15" hidden="1" outlineLevel="1">
      <c r="A450" s="243"/>
      <c r="B450" s="244"/>
      <c r="C450" s="244"/>
      <c r="D450" s="236"/>
      <c r="E450" s="236"/>
      <c r="F450" s="236"/>
      <c r="G450" s="242" t="s">
        <v>126</v>
      </c>
      <c r="H450" s="224">
        <f>SUM(H449)</f>
        <v>0</v>
      </c>
      <c r="I450" s="233"/>
    </row>
    <row r="451" spans="1:9" s="1" customFormat="1" ht="15" collapsed="1">
      <c r="A451" s="266"/>
      <c r="B451" s="267"/>
      <c r="C451" s="267"/>
      <c r="D451" s="268"/>
      <c r="E451" s="268"/>
      <c r="F451" s="268"/>
      <c r="G451" s="268"/>
      <c r="H451" s="269"/>
      <c r="I451" s="179"/>
    </row>
    <row r="452" spans="1:10" s="1" customFormat="1" ht="15">
      <c r="A452" s="174">
        <v>42736</v>
      </c>
      <c r="B452" s="175" t="s">
        <v>88</v>
      </c>
      <c r="C452" s="175" t="s">
        <v>89</v>
      </c>
      <c r="D452" s="176" t="s">
        <v>1699</v>
      </c>
      <c r="E452" s="176"/>
      <c r="F452" s="176"/>
      <c r="G452" s="176"/>
      <c r="H452" s="177">
        <v>-2548000</v>
      </c>
      <c r="I452" s="179"/>
      <c r="J452" s="2" t="s">
        <v>1702</v>
      </c>
    </row>
    <row r="453" spans="1:10" ht="15" hidden="1" outlineLevel="1">
      <c r="A453" s="231">
        <v>42761</v>
      </c>
      <c r="B453" s="204" t="s">
        <v>88</v>
      </c>
      <c r="C453" s="204" t="s">
        <v>89</v>
      </c>
      <c r="D453" s="203" t="s">
        <v>1489</v>
      </c>
      <c r="E453" s="203"/>
      <c r="F453" s="203"/>
      <c r="G453" s="203"/>
      <c r="H453" s="208">
        <v>0</v>
      </c>
      <c r="I453" s="233"/>
      <c r="J453" s="199" t="s">
        <v>473</v>
      </c>
    </row>
    <row r="454" spans="1:10" ht="15" hidden="1" outlineLevel="1">
      <c r="A454" s="231">
        <v>42761</v>
      </c>
      <c r="B454" s="204" t="s">
        <v>88</v>
      </c>
      <c r="C454" s="204" t="s">
        <v>89</v>
      </c>
      <c r="D454" s="203" t="s">
        <v>1491</v>
      </c>
      <c r="E454" s="203"/>
      <c r="F454" s="203"/>
      <c r="G454" s="203"/>
      <c r="H454" s="208">
        <v>0</v>
      </c>
      <c r="I454" s="233"/>
      <c r="J454" s="238" t="s">
        <v>473</v>
      </c>
    </row>
    <row r="455" spans="1:10" ht="15" hidden="1" outlineLevel="1">
      <c r="A455" s="231">
        <v>42761</v>
      </c>
      <c r="B455" s="204" t="s">
        <v>88</v>
      </c>
      <c r="C455" s="204" t="s">
        <v>89</v>
      </c>
      <c r="D455" s="203" t="s">
        <v>1490</v>
      </c>
      <c r="E455" s="203"/>
      <c r="F455" s="203"/>
      <c r="G455" s="203"/>
      <c r="H455" s="208">
        <v>0</v>
      </c>
      <c r="I455" s="233"/>
      <c r="J455" s="238" t="s">
        <v>473</v>
      </c>
    </row>
    <row r="456" spans="1:10" ht="15" hidden="1" outlineLevel="1">
      <c r="A456" s="231">
        <v>42761</v>
      </c>
      <c r="B456" s="204" t="s">
        <v>88</v>
      </c>
      <c r="C456" s="204" t="s">
        <v>89</v>
      </c>
      <c r="D456" s="203" t="s">
        <v>1492</v>
      </c>
      <c r="E456" s="203"/>
      <c r="F456" s="203"/>
      <c r="G456" s="203"/>
      <c r="H456" s="208">
        <v>0</v>
      </c>
      <c r="I456" s="233"/>
      <c r="J456" s="238" t="s">
        <v>473</v>
      </c>
    </row>
    <row r="457" spans="1:10" ht="15" hidden="1" outlineLevel="1">
      <c r="A457" s="231">
        <v>42761</v>
      </c>
      <c r="B457" s="204" t="s">
        <v>88</v>
      </c>
      <c r="C457" s="204" t="s">
        <v>89</v>
      </c>
      <c r="D457" s="203" t="s">
        <v>1493</v>
      </c>
      <c r="E457" s="203"/>
      <c r="F457" s="203"/>
      <c r="G457" s="203"/>
      <c r="H457" s="208">
        <v>0</v>
      </c>
      <c r="I457" s="233"/>
      <c r="J457" s="238" t="s">
        <v>473</v>
      </c>
    </row>
    <row r="458" spans="1:10" ht="15" hidden="1" outlineLevel="1">
      <c r="A458" s="231">
        <v>42397</v>
      </c>
      <c r="B458" s="204" t="s">
        <v>88</v>
      </c>
      <c r="C458" s="204" t="s">
        <v>89</v>
      </c>
      <c r="D458" s="203" t="s">
        <v>979</v>
      </c>
      <c r="E458" s="203"/>
      <c r="F458" s="203"/>
      <c r="G458" s="203"/>
      <c r="H458" s="208">
        <v>0</v>
      </c>
      <c r="I458" s="233"/>
      <c r="J458" s="238" t="s">
        <v>473</v>
      </c>
    </row>
    <row r="459" spans="1:10" ht="15" hidden="1" outlineLevel="1">
      <c r="A459" s="231">
        <v>42397</v>
      </c>
      <c r="B459" s="204" t="s">
        <v>88</v>
      </c>
      <c r="C459" s="204" t="s">
        <v>89</v>
      </c>
      <c r="D459" s="203" t="s">
        <v>980</v>
      </c>
      <c r="E459" s="203"/>
      <c r="F459" s="203"/>
      <c r="G459" s="203"/>
      <c r="H459" s="208">
        <v>0</v>
      </c>
      <c r="I459" s="233"/>
      <c r="J459" s="238" t="s">
        <v>473</v>
      </c>
    </row>
    <row r="460" spans="1:10" ht="15" hidden="1" outlineLevel="1">
      <c r="A460" s="231">
        <v>42397</v>
      </c>
      <c r="B460" s="204" t="s">
        <v>88</v>
      </c>
      <c r="C460" s="204" t="s">
        <v>89</v>
      </c>
      <c r="D460" s="203" t="s">
        <v>981</v>
      </c>
      <c r="E460" s="203"/>
      <c r="F460" s="203"/>
      <c r="G460" s="203"/>
      <c r="H460" s="208">
        <v>0</v>
      </c>
      <c r="I460" s="233"/>
      <c r="J460" s="238" t="s">
        <v>473</v>
      </c>
    </row>
    <row r="461" spans="1:10" ht="15" hidden="1" outlineLevel="1">
      <c r="A461" s="234">
        <v>42474</v>
      </c>
      <c r="B461" s="205" t="s">
        <v>88</v>
      </c>
      <c r="C461" s="205" t="s">
        <v>89</v>
      </c>
      <c r="D461" s="202" t="s">
        <v>993</v>
      </c>
      <c r="E461" s="202"/>
      <c r="F461" s="202"/>
      <c r="G461" s="202"/>
      <c r="H461" s="206">
        <v>0</v>
      </c>
      <c r="I461" s="233"/>
      <c r="J461" s="238" t="s">
        <v>73</v>
      </c>
    </row>
    <row r="462" spans="1:9" s="173" customFormat="1" ht="15" collapsed="1">
      <c r="A462" s="174"/>
      <c r="B462" s="175"/>
      <c r="C462" s="175"/>
      <c r="D462" s="176"/>
      <c r="E462" s="176"/>
      <c r="F462" s="176"/>
      <c r="G462" s="201" t="s">
        <v>115</v>
      </c>
      <c r="H462" s="177">
        <f>SUM(H452:H461)</f>
        <v>-2548000</v>
      </c>
      <c r="I462" s="172"/>
    </row>
    <row r="463" spans="1:9" s="247" customFormat="1" ht="15" hidden="1" outlineLevel="1">
      <c r="A463" s="231"/>
      <c r="B463" s="204"/>
      <c r="C463" s="204"/>
      <c r="D463" s="203"/>
      <c r="E463" s="203"/>
      <c r="F463" s="203"/>
      <c r="G463" s="207"/>
      <c r="H463" s="208"/>
      <c r="I463" s="210"/>
    </row>
    <row r="464" spans="1:10" s="247" customFormat="1" ht="15" hidden="1" outlineLevel="1" collapsed="1">
      <c r="A464" s="234">
        <v>42370</v>
      </c>
      <c r="B464" s="205" t="s">
        <v>1176</v>
      </c>
      <c r="C464" s="205" t="s">
        <v>1173</v>
      </c>
      <c r="D464" s="202" t="s">
        <v>1175</v>
      </c>
      <c r="E464" s="202"/>
      <c r="F464" s="202"/>
      <c r="G464" s="222"/>
      <c r="H464" s="206">
        <v>0</v>
      </c>
      <c r="I464" s="210"/>
      <c r="J464" s="200" t="s">
        <v>760</v>
      </c>
    </row>
    <row r="465" spans="1:9" s="247" customFormat="1" ht="15" hidden="1" outlineLevel="1">
      <c r="A465" s="231"/>
      <c r="B465" s="204"/>
      <c r="C465" s="204"/>
      <c r="D465" s="203"/>
      <c r="E465" s="203"/>
      <c r="F465" s="203"/>
      <c r="G465" s="207" t="s">
        <v>716</v>
      </c>
      <c r="H465" s="208">
        <f>SUM(H464)</f>
        <v>0</v>
      </c>
      <c r="I465" s="210"/>
    </row>
    <row r="466" spans="1:9" s="247" customFormat="1" ht="15" hidden="1" outlineLevel="1">
      <c r="A466" s="231"/>
      <c r="B466" s="204"/>
      <c r="C466" s="204"/>
      <c r="D466" s="203"/>
      <c r="E466" s="203"/>
      <c r="F466" s="203"/>
      <c r="G466" s="207"/>
      <c r="H466" s="208"/>
      <c r="I466" s="210"/>
    </row>
    <row r="467" spans="1:10" s="199" customFormat="1" ht="15" hidden="1" outlineLevel="1">
      <c r="A467" s="217">
        <v>42886</v>
      </c>
      <c r="B467" s="218"/>
      <c r="C467" s="221"/>
      <c r="D467" s="216" t="s">
        <v>1183</v>
      </c>
      <c r="E467" s="216"/>
      <c r="F467" s="216"/>
      <c r="G467" s="207"/>
      <c r="H467" s="208">
        <v>0</v>
      </c>
      <c r="I467" s="216"/>
      <c r="J467" s="199" t="s">
        <v>1184</v>
      </c>
    </row>
    <row r="468" spans="1:9" s="199" customFormat="1" ht="15" hidden="1" outlineLevel="1">
      <c r="A468" s="217"/>
      <c r="B468" s="218"/>
      <c r="C468" s="221"/>
      <c r="D468" s="216"/>
      <c r="E468" s="216"/>
      <c r="F468" s="216"/>
      <c r="G468" s="207"/>
      <c r="H468" s="208"/>
      <c r="I468" s="216"/>
    </row>
    <row r="469" spans="1:10" s="199" customFormat="1" ht="15" hidden="1" outlineLevel="1">
      <c r="A469" s="217">
        <v>42370</v>
      </c>
      <c r="B469" s="218"/>
      <c r="C469" s="221"/>
      <c r="D469" s="216" t="s">
        <v>1185</v>
      </c>
      <c r="E469" s="216"/>
      <c r="F469" s="216"/>
      <c r="G469" s="207"/>
      <c r="H469" s="208">
        <v>0</v>
      </c>
      <c r="I469" s="216"/>
      <c r="J469" s="199" t="s">
        <v>145</v>
      </c>
    </row>
    <row r="470" spans="1:9" s="173" customFormat="1" ht="15" collapsed="1">
      <c r="A470" s="174"/>
      <c r="B470" s="175"/>
      <c r="C470" s="175"/>
      <c r="D470" s="176"/>
      <c r="E470" s="176"/>
      <c r="F470" s="176"/>
      <c r="G470" s="201"/>
      <c r="H470" s="177"/>
      <c r="I470" s="172"/>
    </row>
    <row r="471" spans="1:9" s="173" customFormat="1" ht="15">
      <c r="A471" s="174"/>
      <c r="B471" s="175"/>
      <c r="C471" s="175"/>
      <c r="D471" s="176"/>
      <c r="E471" s="176"/>
      <c r="F471" s="176"/>
      <c r="G471" s="201" t="s">
        <v>127</v>
      </c>
      <c r="H471" s="277">
        <f>H399+H418+H426+H429+H433+H436+H444+H447+H450+H462+H465</f>
        <v>-2323000</v>
      </c>
      <c r="I471" s="172"/>
    </row>
    <row r="472" spans="1:9" s="173" customFormat="1" ht="15">
      <c r="A472" s="174"/>
      <c r="B472" s="175"/>
      <c r="C472" s="175"/>
      <c r="D472" s="176"/>
      <c r="E472" s="176"/>
      <c r="F472" s="176"/>
      <c r="G472" s="201" t="s">
        <v>127</v>
      </c>
      <c r="H472" s="277">
        <f>H471+H467+H469</f>
        <v>-2323000</v>
      </c>
      <c r="I472" s="172"/>
    </row>
    <row r="473" spans="1:9" s="173" customFormat="1" ht="15">
      <c r="A473" s="174"/>
      <c r="B473" s="175"/>
      <c r="C473" s="175"/>
      <c r="D473" s="176"/>
      <c r="E473" s="176"/>
      <c r="F473" s="176"/>
      <c r="G473" s="176"/>
      <c r="H473" s="177"/>
      <c r="I473" s="172"/>
    </row>
    <row r="474" spans="1:9" s="1" customFormat="1" ht="15">
      <c r="A474" s="289" t="s">
        <v>130</v>
      </c>
      <c r="B474" s="267"/>
      <c r="C474" s="267"/>
      <c r="D474" s="268"/>
      <c r="E474" s="268"/>
      <c r="F474" s="268"/>
      <c r="G474" s="268"/>
      <c r="H474" s="269"/>
      <c r="I474" s="179"/>
    </row>
    <row r="475" spans="1:10" s="247" customFormat="1" ht="15" hidden="1" outlineLevel="1">
      <c r="A475" s="234">
        <v>42866</v>
      </c>
      <c r="B475" s="205" t="s">
        <v>1565</v>
      </c>
      <c r="C475" s="205" t="s">
        <v>72</v>
      </c>
      <c r="D475" s="202" t="s">
        <v>1566</v>
      </c>
      <c r="E475" s="202"/>
      <c r="F475" s="202"/>
      <c r="G475" s="222"/>
      <c r="H475" s="206">
        <v>0</v>
      </c>
      <c r="I475" s="210"/>
      <c r="J475" s="199" t="s">
        <v>473</v>
      </c>
    </row>
    <row r="476" spans="1:9" s="247" customFormat="1" ht="15" hidden="1" outlineLevel="1">
      <c r="A476" s="231"/>
      <c r="B476" s="204"/>
      <c r="C476" s="204"/>
      <c r="D476" s="203"/>
      <c r="E476" s="203"/>
      <c r="F476" s="203"/>
      <c r="G476" s="207" t="s">
        <v>1567</v>
      </c>
      <c r="H476" s="208">
        <f>SUM(H475)</f>
        <v>0</v>
      </c>
      <c r="I476" s="210"/>
    </row>
    <row r="477" spans="1:9" s="199" customFormat="1" ht="15" hidden="1" outlineLevel="1">
      <c r="A477" s="217"/>
      <c r="B477" s="240"/>
      <c r="C477" s="240"/>
      <c r="D477" s="226"/>
      <c r="E477" s="226"/>
      <c r="F477" s="226"/>
      <c r="G477" s="226"/>
      <c r="H477" s="237"/>
      <c r="I477" s="230"/>
    </row>
    <row r="478" spans="1:14" s="2" customFormat="1" ht="15" collapsed="1">
      <c r="A478" s="182">
        <v>42736</v>
      </c>
      <c r="B478" s="183" t="s">
        <v>215</v>
      </c>
      <c r="C478" s="183" t="s">
        <v>182</v>
      </c>
      <c r="D478" s="184" t="s">
        <v>216</v>
      </c>
      <c r="E478" s="184"/>
      <c r="F478" s="184"/>
      <c r="G478" s="184"/>
      <c r="H478" s="186">
        <v>1093350</v>
      </c>
      <c r="I478" s="187"/>
      <c r="J478" s="2" t="s">
        <v>192</v>
      </c>
      <c r="N478" s="279"/>
    </row>
    <row r="479" spans="1:9" s="2" customFormat="1" ht="15">
      <c r="A479" s="188"/>
      <c r="B479" s="189"/>
      <c r="C479" s="189"/>
      <c r="D479" s="190"/>
      <c r="E479" s="190"/>
      <c r="F479" s="190"/>
      <c r="G479" s="195" t="s">
        <v>216</v>
      </c>
      <c r="H479" s="191">
        <f>SUM(H478)</f>
        <v>1093350</v>
      </c>
      <c r="I479" s="187"/>
    </row>
    <row r="480" spans="1:9" s="199" customFormat="1" ht="15" hidden="1" outlineLevel="1">
      <c r="A480" s="217"/>
      <c r="B480" s="240"/>
      <c r="C480" s="240"/>
      <c r="D480" s="226"/>
      <c r="E480" s="226"/>
      <c r="F480" s="226"/>
      <c r="G480" s="242"/>
      <c r="H480" s="237"/>
      <c r="I480" s="230"/>
    </row>
    <row r="481" spans="1:10" s="199" customFormat="1" ht="15" hidden="1" outlineLevel="1">
      <c r="A481" s="212">
        <v>42005</v>
      </c>
      <c r="B481" s="213" t="s">
        <v>215</v>
      </c>
      <c r="C481" s="213" t="s">
        <v>87</v>
      </c>
      <c r="D481" s="215" t="s">
        <v>922</v>
      </c>
      <c r="E481" s="215"/>
      <c r="F481" s="215"/>
      <c r="G481" s="215"/>
      <c r="H481" s="239">
        <v>0</v>
      </c>
      <c r="I481" s="230"/>
      <c r="J481" s="199" t="s">
        <v>824</v>
      </c>
    </row>
    <row r="482" spans="1:9" s="199" customFormat="1" ht="15" hidden="1" outlineLevel="1">
      <c r="A482" s="217"/>
      <c r="B482" s="240"/>
      <c r="C482" s="240"/>
      <c r="D482" s="226"/>
      <c r="E482" s="226"/>
      <c r="F482" s="226"/>
      <c r="G482" s="242" t="s">
        <v>923</v>
      </c>
      <c r="H482" s="237">
        <f>SUM(H481)</f>
        <v>0</v>
      </c>
      <c r="I482" s="230"/>
    </row>
    <row r="483" spans="1:9" s="2" customFormat="1" ht="15" collapsed="1">
      <c r="A483" s="188"/>
      <c r="B483" s="189"/>
      <c r="C483" s="189"/>
      <c r="D483" s="190"/>
      <c r="E483" s="190"/>
      <c r="F483" s="190"/>
      <c r="G483" s="195"/>
      <c r="H483" s="191"/>
      <c r="I483" s="187"/>
    </row>
    <row r="484" spans="1:9" s="2" customFormat="1" ht="15">
      <c r="A484" s="188"/>
      <c r="B484" s="189"/>
      <c r="C484" s="189"/>
      <c r="D484" s="190"/>
      <c r="E484" s="190"/>
      <c r="F484" s="190"/>
      <c r="G484" s="195" t="s">
        <v>924</v>
      </c>
      <c r="H484" s="191">
        <f>H479+H482</f>
        <v>1093350</v>
      </c>
      <c r="I484" s="187"/>
    </row>
    <row r="485" spans="1:9" s="2" customFormat="1" ht="15">
      <c r="A485" s="188"/>
      <c r="B485" s="189"/>
      <c r="C485" s="189"/>
      <c r="D485" s="190"/>
      <c r="E485" s="190"/>
      <c r="F485" s="190"/>
      <c r="G485" s="195"/>
      <c r="H485" s="191"/>
      <c r="I485" s="187"/>
    </row>
    <row r="486" spans="1:10" s="2" customFormat="1" ht="15">
      <c r="A486" s="182">
        <v>42736</v>
      </c>
      <c r="B486" s="183" t="s">
        <v>217</v>
      </c>
      <c r="C486" s="183" t="s">
        <v>182</v>
      </c>
      <c r="D486" s="184" t="s">
        <v>218</v>
      </c>
      <c r="E486" s="184"/>
      <c r="F486" s="184"/>
      <c r="G486" s="185"/>
      <c r="H486" s="186">
        <v>1271920</v>
      </c>
      <c r="I486" s="187"/>
      <c r="J486" s="2" t="s">
        <v>219</v>
      </c>
    </row>
    <row r="487" spans="1:9" s="2" customFormat="1" ht="15">
      <c r="A487" s="188"/>
      <c r="B487" s="189"/>
      <c r="C487" s="189"/>
      <c r="D487" s="190"/>
      <c r="E487" s="190"/>
      <c r="F487" s="190"/>
      <c r="G487" s="195" t="s">
        <v>218</v>
      </c>
      <c r="H487" s="191">
        <f>SUM(H486)</f>
        <v>1271920</v>
      </c>
      <c r="I487" s="187"/>
    </row>
    <row r="488" spans="1:9" s="2" customFormat="1" ht="15">
      <c r="A488" s="188"/>
      <c r="B488" s="189"/>
      <c r="C488" s="189"/>
      <c r="D488" s="190"/>
      <c r="E488" s="190"/>
      <c r="F488" s="190"/>
      <c r="G488" s="195"/>
      <c r="H488" s="191"/>
      <c r="I488" s="187"/>
    </row>
    <row r="489" spans="1:10" s="2" customFormat="1" ht="15">
      <c r="A489" s="182">
        <v>42736</v>
      </c>
      <c r="B489" s="183" t="s">
        <v>217</v>
      </c>
      <c r="C489" s="183" t="s">
        <v>1162</v>
      </c>
      <c r="D489" s="184" t="s">
        <v>1643</v>
      </c>
      <c r="E489" s="184"/>
      <c r="F489" s="184"/>
      <c r="G489" s="185"/>
      <c r="H489" s="186">
        <v>250000</v>
      </c>
      <c r="I489" s="187"/>
      <c r="J489" s="2" t="s">
        <v>219</v>
      </c>
    </row>
    <row r="490" spans="1:9" s="2" customFormat="1" ht="15">
      <c r="A490" s="188"/>
      <c r="B490" s="189"/>
      <c r="C490" s="189"/>
      <c r="D490" s="190"/>
      <c r="E490" s="190"/>
      <c r="F490" s="190"/>
      <c r="G490" s="195" t="s">
        <v>1008</v>
      </c>
      <c r="H490" s="191">
        <f>SUM(H489)</f>
        <v>250000</v>
      </c>
      <c r="I490" s="187"/>
    </row>
    <row r="491" spans="1:9" s="2" customFormat="1" ht="15">
      <c r="A491" s="188"/>
      <c r="B491" s="189"/>
      <c r="C491" s="189"/>
      <c r="D491" s="190"/>
      <c r="E491" s="190"/>
      <c r="F491" s="190"/>
      <c r="G491" s="195"/>
      <c r="H491" s="191"/>
      <c r="I491" s="187"/>
    </row>
    <row r="492" spans="1:9" s="2" customFormat="1" ht="15">
      <c r="A492" s="188"/>
      <c r="B492" s="189"/>
      <c r="C492" s="189"/>
      <c r="D492" s="190"/>
      <c r="E492" s="190"/>
      <c r="F492" s="190"/>
      <c r="G492" s="195" t="s">
        <v>1009</v>
      </c>
      <c r="H492" s="191">
        <f>H487+H490</f>
        <v>1521920</v>
      </c>
      <c r="I492" s="187"/>
    </row>
    <row r="493" spans="1:9" s="199" customFormat="1" ht="15" hidden="1" outlineLevel="1">
      <c r="A493" s="217"/>
      <c r="B493" s="240"/>
      <c r="C493" s="240"/>
      <c r="D493" s="226"/>
      <c r="E493" s="226"/>
      <c r="F493" s="226"/>
      <c r="G493" s="242"/>
      <c r="H493" s="237"/>
      <c r="I493" s="230"/>
    </row>
    <row r="494" spans="1:10" s="247" customFormat="1" ht="15" hidden="1" outlineLevel="1">
      <c r="A494" s="234">
        <v>42346</v>
      </c>
      <c r="B494" s="205" t="s">
        <v>220</v>
      </c>
      <c r="C494" s="205" t="s">
        <v>72</v>
      </c>
      <c r="D494" s="202" t="s">
        <v>795</v>
      </c>
      <c r="E494" s="202"/>
      <c r="F494" s="202"/>
      <c r="G494" s="222"/>
      <c r="H494" s="206">
        <v>0</v>
      </c>
      <c r="I494" s="210"/>
      <c r="J494" s="199" t="s">
        <v>155</v>
      </c>
    </row>
    <row r="495" spans="1:9" s="247" customFormat="1" ht="15" hidden="1" outlineLevel="1">
      <c r="A495" s="231"/>
      <c r="B495" s="204"/>
      <c r="C495" s="204"/>
      <c r="D495" s="203"/>
      <c r="E495" s="203"/>
      <c r="F495" s="203"/>
      <c r="G495" s="207" t="s">
        <v>796</v>
      </c>
      <c r="H495" s="208">
        <f>SUM(H494)</f>
        <v>0</v>
      </c>
      <c r="I495" s="210"/>
    </row>
    <row r="496" spans="1:9" s="247" customFormat="1" ht="15" hidden="1" outlineLevel="1">
      <c r="A496" s="231"/>
      <c r="B496" s="204"/>
      <c r="C496" s="204"/>
      <c r="D496" s="203"/>
      <c r="E496" s="203"/>
      <c r="F496" s="203"/>
      <c r="G496" s="207"/>
      <c r="H496" s="208"/>
      <c r="I496" s="210"/>
    </row>
    <row r="497" spans="1:10" s="247" customFormat="1" ht="15" hidden="1" outlineLevel="1">
      <c r="A497" s="234">
        <v>42346</v>
      </c>
      <c r="B497" s="205" t="s">
        <v>220</v>
      </c>
      <c r="C497" s="205" t="s">
        <v>72</v>
      </c>
      <c r="D497" s="202" t="s">
        <v>795</v>
      </c>
      <c r="E497" s="202"/>
      <c r="F497" s="202"/>
      <c r="G497" s="222"/>
      <c r="H497" s="206">
        <v>0</v>
      </c>
      <c r="I497" s="210"/>
      <c r="J497" s="199" t="s">
        <v>155</v>
      </c>
    </row>
    <row r="498" spans="1:9" s="247" customFormat="1" ht="15" hidden="1" outlineLevel="1">
      <c r="A498" s="231"/>
      <c r="B498" s="204"/>
      <c r="C498" s="204"/>
      <c r="D498" s="203"/>
      <c r="E498" s="203"/>
      <c r="F498" s="203"/>
      <c r="G498" s="207" t="s">
        <v>796</v>
      </c>
      <c r="H498" s="208">
        <f>SUM(H497)</f>
        <v>0</v>
      </c>
      <c r="I498" s="210"/>
    </row>
    <row r="499" spans="1:9" s="199" customFormat="1" ht="15" hidden="1" outlineLevel="1">
      <c r="A499" s="217"/>
      <c r="B499" s="240"/>
      <c r="C499" s="240"/>
      <c r="D499" s="226"/>
      <c r="E499" s="226"/>
      <c r="F499" s="226"/>
      <c r="G499" s="242"/>
      <c r="H499" s="237"/>
      <c r="I499" s="230"/>
    </row>
    <row r="500" spans="1:10" s="199" customFormat="1" ht="15" hidden="1" outlineLevel="1" collapsed="1">
      <c r="A500" s="212">
        <v>42543</v>
      </c>
      <c r="B500" s="213" t="s">
        <v>220</v>
      </c>
      <c r="C500" s="213" t="s">
        <v>1326</v>
      </c>
      <c r="D500" s="215" t="s">
        <v>1342</v>
      </c>
      <c r="E500" s="215"/>
      <c r="F500" s="215"/>
      <c r="G500" s="222"/>
      <c r="H500" s="239">
        <v>0</v>
      </c>
      <c r="I500" s="230"/>
      <c r="J500" s="199" t="s">
        <v>646</v>
      </c>
    </row>
    <row r="501" spans="1:9" s="199" customFormat="1" ht="15" hidden="1" outlineLevel="1">
      <c r="A501" s="217"/>
      <c r="B501" s="240"/>
      <c r="C501" s="240"/>
      <c r="D501" s="226"/>
      <c r="E501" s="226"/>
      <c r="F501" s="226"/>
      <c r="G501" s="242" t="s">
        <v>1343</v>
      </c>
      <c r="H501" s="237">
        <f>SUM(H500)</f>
        <v>0</v>
      </c>
      <c r="I501" s="230"/>
    </row>
    <row r="502" spans="1:9" s="199" customFormat="1" ht="15" hidden="1" outlineLevel="1">
      <c r="A502" s="217"/>
      <c r="B502" s="240"/>
      <c r="C502" s="240"/>
      <c r="D502" s="226"/>
      <c r="E502" s="226"/>
      <c r="F502" s="226"/>
      <c r="G502" s="242"/>
      <c r="H502" s="237"/>
      <c r="I502" s="230"/>
    </row>
    <row r="503" spans="1:9" s="199" customFormat="1" ht="15" hidden="1" outlineLevel="1">
      <c r="A503" s="217"/>
      <c r="B503" s="240"/>
      <c r="C503" s="240"/>
      <c r="D503" s="226"/>
      <c r="E503" s="226"/>
      <c r="F503" s="226"/>
      <c r="G503" s="207" t="s">
        <v>797</v>
      </c>
      <c r="H503" s="237">
        <f>H495+H498+H501</f>
        <v>0</v>
      </c>
      <c r="I503" s="230"/>
    </row>
    <row r="504" spans="1:9" s="199" customFormat="1" ht="15" hidden="1" outlineLevel="1">
      <c r="A504" s="217"/>
      <c r="B504" s="240"/>
      <c r="C504" s="240"/>
      <c r="D504" s="226"/>
      <c r="E504" s="226"/>
      <c r="F504" s="226"/>
      <c r="G504" s="207"/>
      <c r="H504" s="237"/>
      <c r="I504" s="230"/>
    </row>
    <row r="505" spans="1:10" s="247" customFormat="1" ht="15" hidden="1" outlineLevel="1">
      <c r="A505" s="234">
        <v>42346</v>
      </c>
      <c r="B505" s="205" t="s">
        <v>798</v>
      </c>
      <c r="C505" s="205" t="s">
        <v>72</v>
      </c>
      <c r="D505" s="202" t="s">
        <v>799</v>
      </c>
      <c r="E505" s="202"/>
      <c r="F505" s="202"/>
      <c r="G505" s="222"/>
      <c r="H505" s="206">
        <v>0</v>
      </c>
      <c r="I505" s="210"/>
      <c r="J505" s="199" t="s">
        <v>155</v>
      </c>
    </row>
    <row r="506" spans="1:9" s="247" customFormat="1" ht="15" hidden="1" outlineLevel="1">
      <c r="A506" s="231"/>
      <c r="B506" s="204"/>
      <c r="C506" s="204"/>
      <c r="D506" s="203"/>
      <c r="E506" s="203"/>
      <c r="F506" s="203"/>
      <c r="G506" s="207" t="s">
        <v>801</v>
      </c>
      <c r="H506" s="208">
        <f>SUM(H505)</f>
        <v>0</v>
      </c>
      <c r="I506" s="210"/>
    </row>
    <row r="507" spans="1:9" s="2" customFormat="1" ht="15" collapsed="1">
      <c r="A507" s="188"/>
      <c r="B507" s="189"/>
      <c r="C507" s="189"/>
      <c r="D507" s="190"/>
      <c r="E507" s="190"/>
      <c r="F507" s="190"/>
      <c r="G507" s="195"/>
      <c r="H507" s="191"/>
      <c r="I507" s="187"/>
    </row>
    <row r="508" spans="1:10" s="173" customFormat="1" ht="15">
      <c r="A508" s="168">
        <v>42915</v>
      </c>
      <c r="B508" s="169" t="s">
        <v>798</v>
      </c>
      <c r="C508" s="169" t="s">
        <v>1315</v>
      </c>
      <c r="D508" s="170" t="s">
        <v>1616</v>
      </c>
      <c r="E508" s="170"/>
      <c r="F508" s="170"/>
      <c r="G508" s="185"/>
      <c r="H508" s="171">
        <v>1333000</v>
      </c>
      <c r="I508" s="172"/>
      <c r="J508" s="2" t="s">
        <v>86</v>
      </c>
    </row>
    <row r="509" spans="1:9" s="173" customFormat="1" ht="15">
      <c r="A509" s="174"/>
      <c r="B509" s="175"/>
      <c r="C509" s="175"/>
      <c r="D509" s="176"/>
      <c r="E509" s="176"/>
      <c r="F509" s="176"/>
      <c r="G509" s="201" t="s">
        <v>1617</v>
      </c>
      <c r="H509" s="177">
        <f>SUM(H508)</f>
        <v>1333000</v>
      </c>
      <c r="I509" s="172"/>
    </row>
    <row r="510" spans="1:9" s="173" customFormat="1" ht="15">
      <c r="A510" s="174"/>
      <c r="B510" s="175"/>
      <c r="C510" s="175"/>
      <c r="D510" s="176"/>
      <c r="E510" s="176"/>
      <c r="F510" s="176"/>
      <c r="G510" s="201"/>
      <c r="H510" s="177"/>
      <c r="I510" s="172"/>
    </row>
    <row r="511" spans="1:9" s="173" customFormat="1" ht="15">
      <c r="A511" s="174"/>
      <c r="B511" s="175"/>
      <c r="C511" s="175"/>
      <c r="D511" s="176"/>
      <c r="E511" s="176"/>
      <c r="F511" s="176"/>
      <c r="G511" s="201" t="s">
        <v>1618</v>
      </c>
      <c r="H511" s="177">
        <f>H506+H509</f>
        <v>1333000</v>
      </c>
      <c r="I511" s="172"/>
    </row>
    <row r="512" spans="1:9" s="199" customFormat="1" ht="15" hidden="1" outlineLevel="1">
      <c r="A512" s="217"/>
      <c r="B512" s="240"/>
      <c r="C512" s="240"/>
      <c r="D512" s="226"/>
      <c r="E512" s="226"/>
      <c r="F512" s="226"/>
      <c r="G512" s="242"/>
      <c r="H512" s="237"/>
      <c r="I512" s="230"/>
    </row>
    <row r="513" spans="1:10" s="199" customFormat="1" ht="15" hidden="1" outlineLevel="1">
      <c r="A513" s="212">
        <v>42346</v>
      </c>
      <c r="B513" s="213" t="s">
        <v>221</v>
      </c>
      <c r="C513" s="213" t="s">
        <v>72</v>
      </c>
      <c r="D513" s="215" t="s">
        <v>800</v>
      </c>
      <c r="E513" s="215"/>
      <c r="F513" s="215"/>
      <c r="G513" s="222"/>
      <c r="H513" s="239">
        <v>0</v>
      </c>
      <c r="I513" s="230"/>
      <c r="J513" s="199" t="s">
        <v>155</v>
      </c>
    </row>
    <row r="514" spans="1:9" s="199" customFormat="1" ht="15" hidden="1" outlineLevel="1">
      <c r="A514" s="217"/>
      <c r="B514" s="240"/>
      <c r="C514" s="240"/>
      <c r="D514" s="226"/>
      <c r="E514" s="226"/>
      <c r="F514" s="226"/>
      <c r="G514" s="242" t="s">
        <v>681</v>
      </c>
      <c r="H514" s="237">
        <f>SUM(H513)</f>
        <v>0</v>
      </c>
      <c r="I514" s="230"/>
    </row>
    <row r="515" spans="1:9" s="199" customFormat="1" ht="15" hidden="1" outlineLevel="1">
      <c r="A515" s="217"/>
      <c r="B515" s="240"/>
      <c r="C515" s="240"/>
      <c r="D515" s="226"/>
      <c r="E515" s="226"/>
      <c r="F515" s="226"/>
      <c r="G515" s="242"/>
      <c r="H515" s="237"/>
      <c r="I515" s="230"/>
    </row>
    <row r="516" spans="1:10" s="199" customFormat="1" ht="15" hidden="1" outlineLevel="1">
      <c r="A516" s="212">
        <v>42370</v>
      </c>
      <c r="B516" s="213" t="s">
        <v>221</v>
      </c>
      <c r="C516" s="213" t="s">
        <v>182</v>
      </c>
      <c r="D516" s="215" t="s">
        <v>222</v>
      </c>
      <c r="E516" s="215"/>
      <c r="F516" s="215"/>
      <c r="G516" s="222"/>
      <c r="H516" s="239">
        <v>0</v>
      </c>
      <c r="I516" s="230"/>
      <c r="J516" s="199" t="s">
        <v>192</v>
      </c>
    </row>
    <row r="517" spans="1:9" s="199" customFormat="1" ht="15" hidden="1" outlineLevel="1">
      <c r="A517" s="217"/>
      <c r="B517" s="240"/>
      <c r="C517" s="240"/>
      <c r="D517" s="226"/>
      <c r="E517" s="226"/>
      <c r="F517" s="226"/>
      <c r="G517" s="242" t="s">
        <v>222</v>
      </c>
      <c r="H517" s="237">
        <f>SUM(H516)</f>
        <v>0</v>
      </c>
      <c r="I517" s="230"/>
    </row>
    <row r="518" spans="1:9" s="199" customFormat="1" ht="15" hidden="1" outlineLevel="1">
      <c r="A518" s="217"/>
      <c r="B518" s="240"/>
      <c r="C518" s="240"/>
      <c r="D518" s="226"/>
      <c r="E518" s="226"/>
      <c r="F518" s="226"/>
      <c r="G518" s="242"/>
      <c r="H518" s="237"/>
      <c r="I518" s="230"/>
    </row>
    <row r="519" spans="1:10" s="199" customFormat="1" ht="15" hidden="1" outlineLevel="1" collapsed="1">
      <c r="A519" s="212">
        <v>42543</v>
      </c>
      <c r="B519" s="213" t="s">
        <v>221</v>
      </c>
      <c r="C519" s="213" t="s">
        <v>1326</v>
      </c>
      <c r="D519" s="215" t="s">
        <v>1344</v>
      </c>
      <c r="E519" s="215"/>
      <c r="F519" s="215"/>
      <c r="G519" s="222"/>
      <c r="H519" s="239">
        <v>0</v>
      </c>
      <c r="I519" s="230"/>
      <c r="J519" s="199" t="s">
        <v>824</v>
      </c>
    </row>
    <row r="520" spans="1:9" s="199" customFormat="1" ht="15" hidden="1" outlineLevel="1">
      <c r="A520" s="217"/>
      <c r="B520" s="240"/>
      <c r="C520" s="240"/>
      <c r="D520" s="226"/>
      <c r="E520" s="226"/>
      <c r="F520" s="226"/>
      <c r="G520" s="242" t="s">
        <v>702</v>
      </c>
      <c r="H520" s="237">
        <f>SUM(H519)</f>
        <v>0</v>
      </c>
      <c r="I520" s="230"/>
    </row>
    <row r="521" spans="1:9" s="199" customFormat="1" ht="15" hidden="1" outlineLevel="1">
      <c r="A521" s="217"/>
      <c r="B521" s="240"/>
      <c r="C521" s="240"/>
      <c r="D521" s="226"/>
      <c r="E521" s="226"/>
      <c r="F521" s="226"/>
      <c r="G521" s="242"/>
      <c r="H521" s="237"/>
      <c r="I521" s="230"/>
    </row>
    <row r="522" spans="1:9" s="199" customFormat="1" ht="15" hidden="1" outlineLevel="1">
      <c r="A522" s="217"/>
      <c r="B522" s="240"/>
      <c r="C522" s="240"/>
      <c r="D522" s="226"/>
      <c r="E522" s="226"/>
      <c r="F522" s="226"/>
      <c r="G522" s="242" t="s">
        <v>682</v>
      </c>
      <c r="H522" s="237">
        <f>H514+H517+H520</f>
        <v>0</v>
      </c>
      <c r="I522" s="230"/>
    </row>
    <row r="523" spans="1:9" s="199" customFormat="1" ht="15" hidden="1" outlineLevel="1">
      <c r="A523" s="217"/>
      <c r="B523" s="240"/>
      <c r="C523" s="240"/>
      <c r="D523" s="226"/>
      <c r="E523" s="226"/>
      <c r="F523" s="226"/>
      <c r="G523" s="226"/>
      <c r="H523" s="237"/>
      <c r="I523" s="230"/>
    </row>
    <row r="524" spans="1:10" s="199" customFormat="1" ht="15" hidden="1" outlineLevel="1">
      <c r="A524" s="212">
        <v>42145</v>
      </c>
      <c r="B524" s="213" t="s">
        <v>108</v>
      </c>
      <c r="C524" s="213" t="s">
        <v>450</v>
      </c>
      <c r="D524" s="215" t="s">
        <v>451</v>
      </c>
      <c r="E524" s="215"/>
      <c r="F524" s="215"/>
      <c r="G524" s="215"/>
      <c r="H524" s="239">
        <v>0</v>
      </c>
      <c r="I524" s="230"/>
      <c r="J524" s="199" t="s">
        <v>90</v>
      </c>
    </row>
    <row r="525" spans="1:9" s="199" customFormat="1" ht="15" hidden="1" outlineLevel="1">
      <c r="A525" s="217"/>
      <c r="B525" s="240"/>
      <c r="C525" s="240"/>
      <c r="D525" s="226"/>
      <c r="E525" s="226"/>
      <c r="F525" s="226"/>
      <c r="G525" s="242" t="s">
        <v>479</v>
      </c>
      <c r="H525" s="237">
        <f>SUM(H524)</f>
        <v>0</v>
      </c>
      <c r="I525" s="230"/>
    </row>
    <row r="526" spans="1:9" s="199" customFormat="1" ht="15" hidden="1" outlineLevel="1">
      <c r="A526" s="217"/>
      <c r="B526" s="240"/>
      <c r="C526" s="240"/>
      <c r="D526" s="226"/>
      <c r="E526" s="226"/>
      <c r="F526" s="226"/>
      <c r="G526" s="226"/>
      <c r="H526" s="237"/>
      <c r="I526" s="230"/>
    </row>
    <row r="527" spans="1:10" s="199" customFormat="1" ht="15" hidden="1" outlineLevel="1" collapsed="1">
      <c r="A527" s="225">
        <v>42661</v>
      </c>
      <c r="B527" s="218" t="s">
        <v>108</v>
      </c>
      <c r="C527" s="218" t="s">
        <v>72</v>
      </c>
      <c r="D527" s="216" t="s">
        <v>1224</v>
      </c>
      <c r="E527" s="216"/>
      <c r="F527" s="216"/>
      <c r="G527" s="216"/>
      <c r="H527" s="245">
        <v>0</v>
      </c>
      <c r="I527" s="230"/>
      <c r="J527" s="199" t="s">
        <v>1466</v>
      </c>
    </row>
    <row r="528" spans="1:10" s="199" customFormat="1" ht="15" hidden="1" outlineLevel="1">
      <c r="A528" s="212">
        <v>42712</v>
      </c>
      <c r="B528" s="213" t="s">
        <v>108</v>
      </c>
      <c r="C528" s="213" t="s">
        <v>72</v>
      </c>
      <c r="D528" s="215" t="s">
        <v>1224</v>
      </c>
      <c r="E528" s="215"/>
      <c r="F528" s="215"/>
      <c r="G528" s="215"/>
      <c r="H528" s="239">
        <v>0</v>
      </c>
      <c r="I528" s="230"/>
      <c r="J528" s="199" t="s">
        <v>1468</v>
      </c>
    </row>
    <row r="529" spans="1:9" s="199" customFormat="1" ht="15" hidden="1" outlineLevel="1">
      <c r="A529" s="217"/>
      <c r="B529" s="240"/>
      <c r="C529" s="240"/>
      <c r="D529" s="226"/>
      <c r="E529" s="226"/>
      <c r="F529" s="226"/>
      <c r="G529" s="242" t="s">
        <v>128</v>
      </c>
      <c r="H529" s="237">
        <f>SUM(H527:H528)</f>
        <v>0</v>
      </c>
      <c r="I529" s="230"/>
    </row>
    <row r="530" spans="1:9" s="2" customFormat="1" ht="15" collapsed="1">
      <c r="A530" s="188"/>
      <c r="B530" s="189"/>
      <c r="C530" s="189"/>
      <c r="D530" s="190"/>
      <c r="E530" s="190"/>
      <c r="F530" s="190"/>
      <c r="G530" s="195"/>
      <c r="H530" s="191"/>
      <c r="I530" s="187"/>
    </row>
    <row r="531" spans="1:10" s="2" customFormat="1" ht="15">
      <c r="A531" s="182">
        <v>42736</v>
      </c>
      <c r="B531" s="183" t="s">
        <v>108</v>
      </c>
      <c r="C531" s="183" t="s">
        <v>182</v>
      </c>
      <c r="D531" s="184" t="s">
        <v>223</v>
      </c>
      <c r="E531" s="184"/>
      <c r="F531" s="184"/>
      <c r="G531" s="185"/>
      <c r="H531" s="186">
        <v>-520860</v>
      </c>
      <c r="I531" s="187"/>
      <c r="J531" s="2" t="s">
        <v>192</v>
      </c>
    </row>
    <row r="532" spans="1:9" s="2" customFormat="1" ht="15">
      <c r="A532" s="188"/>
      <c r="B532" s="189"/>
      <c r="C532" s="189"/>
      <c r="D532" s="190"/>
      <c r="E532" s="190"/>
      <c r="F532" s="190"/>
      <c r="G532" s="195" t="s">
        <v>224</v>
      </c>
      <c r="H532" s="191">
        <f>SUM(H531)</f>
        <v>-520860</v>
      </c>
      <c r="I532" s="187"/>
    </row>
    <row r="533" spans="1:9" s="2" customFormat="1" ht="15" hidden="1" outlineLevel="1">
      <c r="A533" s="188"/>
      <c r="B533" s="189"/>
      <c r="C533" s="189"/>
      <c r="D533" s="190"/>
      <c r="E533" s="190"/>
      <c r="F533" s="190"/>
      <c r="G533" s="195"/>
      <c r="H533" s="191"/>
      <c r="I533" s="187"/>
    </row>
    <row r="534" spans="1:10" s="199" customFormat="1" ht="15" hidden="1" outlineLevel="1" collapsed="1">
      <c r="A534" s="212">
        <v>42698</v>
      </c>
      <c r="B534" s="213" t="s">
        <v>108</v>
      </c>
      <c r="C534" s="213" t="s">
        <v>78</v>
      </c>
      <c r="D534" s="215" t="s">
        <v>1283</v>
      </c>
      <c r="E534" s="215"/>
      <c r="F534" s="215"/>
      <c r="G534" s="222"/>
      <c r="H534" s="239">
        <v>0</v>
      </c>
      <c r="I534" s="230"/>
      <c r="J534" s="199" t="s">
        <v>90</v>
      </c>
    </row>
    <row r="535" spans="1:9" s="199" customFormat="1" ht="15" hidden="1" outlineLevel="1">
      <c r="A535" s="217"/>
      <c r="B535" s="240"/>
      <c r="C535" s="240"/>
      <c r="D535" s="226"/>
      <c r="E535" s="226"/>
      <c r="F535" s="226"/>
      <c r="G535" s="242" t="s">
        <v>703</v>
      </c>
      <c r="H535" s="237">
        <f>SUM(H534:H534)</f>
        <v>0</v>
      </c>
      <c r="I535" s="230"/>
    </row>
    <row r="536" spans="1:9" s="2" customFormat="1" ht="15" collapsed="1">
      <c r="A536" s="188"/>
      <c r="B536" s="189"/>
      <c r="C536" s="189"/>
      <c r="D536" s="190"/>
      <c r="E536" s="190"/>
      <c r="F536" s="190"/>
      <c r="G536" s="195"/>
      <c r="H536" s="191"/>
      <c r="I536" s="187"/>
    </row>
    <row r="537" spans="1:9" s="2" customFormat="1" ht="15">
      <c r="A537" s="188"/>
      <c r="B537" s="189"/>
      <c r="C537" s="189"/>
      <c r="D537" s="190"/>
      <c r="E537" s="190"/>
      <c r="F537" s="190"/>
      <c r="G537" s="195" t="s">
        <v>225</v>
      </c>
      <c r="H537" s="191">
        <f>H525+H529+H532+H535</f>
        <v>-520860</v>
      </c>
      <c r="I537" s="187"/>
    </row>
    <row r="538" spans="1:9" s="199" customFormat="1" ht="15" hidden="1" outlineLevel="1">
      <c r="A538" s="217"/>
      <c r="B538" s="240"/>
      <c r="C538" s="240"/>
      <c r="D538" s="226"/>
      <c r="E538" s="226"/>
      <c r="F538" s="226"/>
      <c r="G538" s="242"/>
      <c r="H538" s="237"/>
      <c r="I538" s="230"/>
    </row>
    <row r="539" spans="1:10" s="247" customFormat="1" ht="15" hidden="1" outlineLevel="1">
      <c r="A539" s="234">
        <v>42383</v>
      </c>
      <c r="B539" s="205" t="s">
        <v>71</v>
      </c>
      <c r="C539" s="205" t="s">
        <v>72</v>
      </c>
      <c r="D539" s="202" t="s">
        <v>972</v>
      </c>
      <c r="E539" s="202"/>
      <c r="F539" s="202"/>
      <c r="G539" s="202"/>
      <c r="H539" s="206">
        <v>0</v>
      </c>
      <c r="I539" s="210"/>
      <c r="J539" s="199" t="s">
        <v>473</v>
      </c>
    </row>
    <row r="540" spans="1:10" s="247" customFormat="1" ht="15" hidden="1" outlineLevel="1">
      <c r="A540" s="231"/>
      <c r="B540" s="204"/>
      <c r="C540" s="204"/>
      <c r="D540" s="203"/>
      <c r="E540" s="203"/>
      <c r="F540" s="203"/>
      <c r="G540" s="207" t="s">
        <v>129</v>
      </c>
      <c r="H540" s="208">
        <f>SUM(H539:H539)</f>
        <v>0</v>
      </c>
      <c r="I540" s="210"/>
      <c r="J540" s="200"/>
    </row>
    <row r="541" spans="1:10" s="247" customFormat="1" ht="15" hidden="1" outlineLevel="1">
      <c r="A541" s="231"/>
      <c r="B541" s="204"/>
      <c r="C541" s="204"/>
      <c r="D541" s="203"/>
      <c r="E541" s="203"/>
      <c r="F541" s="203"/>
      <c r="G541" s="207"/>
      <c r="H541" s="208"/>
      <c r="I541" s="210"/>
      <c r="J541" s="200"/>
    </row>
    <row r="542" spans="1:10" s="247" customFormat="1" ht="15" hidden="1" outlineLevel="1">
      <c r="A542" s="234">
        <v>42370</v>
      </c>
      <c r="B542" s="205" t="s">
        <v>71</v>
      </c>
      <c r="C542" s="205" t="s">
        <v>182</v>
      </c>
      <c r="D542" s="202" t="s">
        <v>226</v>
      </c>
      <c r="E542" s="202"/>
      <c r="F542" s="202"/>
      <c r="G542" s="222"/>
      <c r="H542" s="206">
        <v>0</v>
      </c>
      <c r="I542" s="210"/>
      <c r="J542" s="200" t="s">
        <v>192</v>
      </c>
    </row>
    <row r="543" spans="1:10" s="247" customFormat="1" ht="15" hidden="1" outlineLevel="1">
      <c r="A543" s="231"/>
      <c r="B543" s="204"/>
      <c r="C543" s="204"/>
      <c r="D543" s="203"/>
      <c r="E543" s="203"/>
      <c r="F543" s="203"/>
      <c r="G543" s="207" t="s">
        <v>227</v>
      </c>
      <c r="H543" s="208">
        <f>SUM(H542)</f>
        <v>0</v>
      </c>
      <c r="I543" s="210"/>
      <c r="J543" s="200"/>
    </row>
    <row r="544" spans="1:10" s="247" customFormat="1" ht="15" hidden="1" outlineLevel="1">
      <c r="A544" s="231"/>
      <c r="B544" s="204"/>
      <c r="C544" s="204"/>
      <c r="D544" s="203"/>
      <c r="E544" s="203"/>
      <c r="F544" s="203"/>
      <c r="G544" s="207"/>
      <c r="H544" s="208"/>
      <c r="I544" s="210"/>
      <c r="J544" s="200"/>
    </row>
    <row r="545" spans="1:10" s="247" customFormat="1" ht="15" hidden="1" outlineLevel="1" collapsed="1">
      <c r="A545" s="234">
        <v>42471</v>
      </c>
      <c r="B545" s="205" t="s">
        <v>71</v>
      </c>
      <c r="C545" s="205" t="s">
        <v>78</v>
      </c>
      <c r="D545" s="202" t="s">
        <v>1307</v>
      </c>
      <c r="E545" s="202"/>
      <c r="F545" s="202"/>
      <c r="G545" s="222"/>
      <c r="H545" s="206">
        <v>0</v>
      </c>
      <c r="I545" s="210"/>
      <c r="J545" s="200" t="s">
        <v>1308</v>
      </c>
    </row>
    <row r="546" spans="1:10" s="247" customFormat="1" ht="15" hidden="1" outlineLevel="1">
      <c r="A546" s="231"/>
      <c r="B546" s="204"/>
      <c r="C546" s="204"/>
      <c r="D546" s="203"/>
      <c r="E546" s="203"/>
      <c r="F546" s="203"/>
      <c r="G546" s="207" t="s">
        <v>704</v>
      </c>
      <c r="H546" s="208">
        <f>SUM(H545)</f>
        <v>0</v>
      </c>
      <c r="I546" s="210"/>
      <c r="J546" s="200"/>
    </row>
    <row r="547" spans="1:10" s="247" customFormat="1" ht="15" hidden="1" outlineLevel="1">
      <c r="A547" s="231"/>
      <c r="B547" s="204"/>
      <c r="C547" s="204"/>
      <c r="D547" s="203"/>
      <c r="E547" s="203"/>
      <c r="F547" s="203"/>
      <c r="G547" s="207"/>
      <c r="H547" s="208"/>
      <c r="I547" s="210"/>
      <c r="J547" s="200"/>
    </row>
    <row r="548" spans="1:10" s="247" customFormat="1" ht="15" hidden="1" outlineLevel="1">
      <c r="A548" s="231"/>
      <c r="B548" s="204"/>
      <c r="C548" s="204"/>
      <c r="D548" s="203"/>
      <c r="E548" s="203"/>
      <c r="F548" s="203"/>
      <c r="G548" s="207" t="s">
        <v>228</v>
      </c>
      <c r="H548" s="208">
        <f>H540+H543+H546</f>
        <v>0</v>
      </c>
      <c r="I548" s="210"/>
      <c r="J548" s="200"/>
    </row>
    <row r="549" spans="1:10" s="173" customFormat="1" ht="15" collapsed="1">
      <c r="A549" s="174"/>
      <c r="B549" s="175"/>
      <c r="C549" s="175"/>
      <c r="D549" s="176"/>
      <c r="E549" s="176"/>
      <c r="F549" s="176"/>
      <c r="G549" s="201"/>
      <c r="H549" s="177"/>
      <c r="I549" s="172"/>
      <c r="J549" s="178"/>
    </row>
    <row r="550" spans="1:10" s="173" customFormat="1" ht="15">
      <c r="A550" s="174">
        <v>42736</v>
      </c>
      <c r="B550" s="175" t="s">
        <v>229</v>
      </c>
      <c r="C550" s="175" t="s">
        <v>182</v>
      </c>
      <c r="D550" s="176" t="s">
        <v>230</v>
      </c>
      <c r="E550" s="176"/>
      <c r="F550" s="176"/>
      <c r="G550" s="201"/>
      <c r="H550" s="177">
        <v>-53283</v>
      </c>
      <c r="I550" s="172"/>
      <c r="J550" s="178" t="s">
        <v>192</v>
      </c>
    </row>
    <row r="551" spans="1:10" s="247" customFormat="1" ht="15" hidden="1" outlineLevel="1">
      <c r="A551" s="234">
        <v>42370</v>
      </c>
      <c r="B551" s="205" t="s">
        <v>229</v>
      </c>
      <c r="C551" s="205" t="s">
        <v>182</v>
      </c>
      <c r="D551" s="202" t="s">
        <v>231</v>
      </c>
      <c r="E551" s="202"/>
      <c r="F551" s="202"/>
      <c r="G551" s="222"/>
      <c r="H551" s="206">
        <v>0</v>
      </c>
      <c r="I551" s="210"/>
      <c r="J551" s="200" t="s">
        <v>192</v>
      </c>
    </row>
    <row r="552" spans="1:10" s="173" customFormat="1" ht="15" collapsed="1">
      <c r="A552" s="174"/>
      <c r="B552" s="175"/>
      <c r="C552" s="175"/>
      <c r="D552" s="176"/>
      <c r="E552" s="176"/>
      <c r="F552" s="176"/>
      <c r="G552" s="201" t="s">
        <v>230</v>
      </c>
      <c r="H552" s="177">
        <f>SUM(H550:H551)</f>
        <v>-53283</v>
      </c>
      <c r="I552" s="172"/>
      <c r="J552" s="178"/>
    </row>
    <row r="553" spans="1:10" s="247" customFormat="1" ht="15" hidden="1" outlineLevel="1">
      <c r="A553" s="231"/>
      <c r="B553" s="204"/>
      <c r="C553" s="204"/>
      <c r="D553" s="203"/>
      <c r="E553" s="203"/>
      <c r="F553" s="203"/>
      <c r="G553" s="207"/>
      <c r="H553" s="208"/>
      <c r="I553" s="210"/>
      <c r="J553" s="200"/>
    </row>
    <row r="554" spans="1:10" s="247" customFormat="1" ht="15" hidden="1" outlineLevel="1">
      <c r="A554" s="231">
        <v>42370</v>
      </c>
      <c r="B554" s="204" t="s">
        <v>229</v>
      </c>
      <c r="C554" s="204" t="s">
        <v>1162</v>
      </c>
      <c r="D554" s="203" t="s">
        <v>1165</v>
      </c>
      <c r="E554" s="203"/>
      <c r="F554" s="203"/>
      <c r="G554" s="207"/>
      <c r="H554" s="208">
        <v>0</v>
      </c>
      <c r="I554" s="210"/>
      <c r="J554" s="200" t="s">
        <v>760</v>
      </c>
    </row>
    <row r="555" spans="1:10" s="247" customFormat="1" ht="15" hidden="1" outlineLevel="1">
      <c r="A555" s="231">
        <v>42370</v>
      </c>
      <c r="B555" s="204" t="s">
        <v>229</v>
      </c>
      <c r="C555" s="204" t="s">
        <v>1163</v>
      </c>
      <c r="D555" s="203" t="s">
        <v>1164</v>
      </c>
      <c r="E555" s="203"/>
      <c r="F555" s="203"/>
      <c r="G555" s="207"/>
      <c r="H555" s="208">
        <v>0</v>
      </c>
      <c r="I555" s="210"/>
      <c r="J555" s="200" t="s">
        <v>760</v>
      </c>
    </row>
    <row r="556" spans="1:10" s="247" customFormat="1" ht="15" hidden="1" outlineLevel="1">
      <c r="A556" s="234">
        <v>42370</v>
      </c>
      <c r="B556" s="205" t="s">
        <v>229</v>
      </c>
      <c r="C556" s="205" t="s">
        <v>1166</v>
      </c>
      <c r="D556" s="202" t="s">
        <v>1167</v>
      </c>
      <c r="E556" s="202"/>
      <c r="F556" s="202"/>
      <c r="G556" s="222"/>
      <c r="H556" s="206">
        <v>0</v>
      </c>
      <c r="I556" s="210"/>
      <c r="J556" s="200" t="s">
        <v>760</v>
      </c>
    </row>
    <row r="557" spans="1:10" s="247" customFormat="1" ht="15" hidden="1" outlineLevel="1">
      <c r="A557" s="231"/>
      <c r="B557" s="204"/>
      <c r="C557" s="204"/>
      <c r="D557" s="203"/>
      <c r="E557" s="203"/>
      <c r="F557" s="203"/>
      <c r="G557" s="207" t="s">
        <v>1168</v>
      </c>
      <c r="H557" s="208">
        <f>SUM(H554:H556)</f>
        <v>0</v>
      </c>
      <c r="I557" s="210"/>
      <c r="J557" s="200"/>
    </row>
    <row r="558" spans="1:10" s="173" customFormat="1" ht="15" collapsed="1">
      <c r="A558" s="174"/>
      <c r="B558" s="175"/>
      <c r="C558" s="175"/>
      <c r="D558" s="176"/>
      <c r="E558" s="176"/>
      <c r="F558" s="176"/>
      <c r="G558" s="201"/>
      <c r="H558" s="177"/>
      <c r="I558" s="172"/>
      <c r="J558" s="178"/>
    </row>
    <row r="559" spans="1:10" s="173" customFormat="1" ht="15">
      <c r="A559" s="174"/>
      <c r="B559" s="175"/>
      <c r="C559" s="175"/>
      <c r="D559" s="176"/>
      <c r="E559" s="176"/>
      <c r="F559" s="176"/>
      <c r="G559" s="201" t="s">
        <v>1145</v>
      </c>
      <c r="H559" s="177">
        <f>H552+H557</f>
        <v>-53283</v>
      </c>
      <c r="I559" s="172"/>
      <c r="J559" s="178"/>
    </row>
    <row r="560" spans="1:10" s="173" customFormat="1" ht="15">
      <c r="A560" s="174"/>
      <c r="B560" s="175"/>
      <c r="C560" s="175"/>
      <c r="D560" s="176"/>
      <c r="E560" s="176"/>
      <c r="F560" s="176"/>
      <c r="G560" s="201"/>
      <c r="H560" s="177"/>
      <c r="I560" s="172"/>
      <c r="J560" s="178"/>
    </row>
    <row r="561" spans="1:10" s="173" customFormat="1" ht="15">
      <c r="A561" s="168">
        <v>42915</v>
      </c>
      <c r="B561" s="169" t="s">
        <v>232</v>
      </c>
      <c r="C561" s="169" t="s">
        <v>1315</v>
      </c>
      <c r="D561" s="170" t="s">
        <v>1614</v>
      </c>
      <c r="E561" s="170"/>
      <c r="F561" s="170"/>
      <c r="G561" s="185"/>
      <c r="H561" s="171">
        <v>815000</v>
      </c>
      <c r="I561" s="172"/>
      <c r="J561" s="178" t="s">
        <v>86</v>
      </c>
    </row>
    <row r="562" spans="1:10" s="173" customFormat="1" ht="15">
      <c r="A562" s="174"/>
      <c r="B562" s="175"/>
      <c r="C562" s="175"/>
      <c r="D562" s="176"/>
      <c r="E562" s="176"/>
      <c r="F562" s="176"/>
      <c r="G562" s="201" t="s">
        <v>1615</v>
      </c>
      <c r="H562" s="177">
        <f>SUM(H561)</f>
        <v>815000</v>
      </c>
      <c r="I562" s="172"/>
      <c r="J562" s="178"/>
    </row>
    <row r="563" spans="1:10" s="173" customFormat="1" ht="15">
      <c r="A563" s="174"/>
      <c r="B563" s="175"/>
      <c r="C563" s="175"/>
      <c r="D563" s="176"/>
      <c r="E563" s="176"/>
      <c r="F563" s="176"/>
      <c r="G563" s="201"/>
      <c r="H563" s="177"/>
      <c r="I563" s="172"/>
      <c r="J563" s="178"/>
    </row>
    <row r="564" spans="1:10" s="247" customFormat="1" ht="15" hidden="1" outlineLevel="1">
      <c r="A564" s="234">
        <v>42370</v>
      </c>
      <c r="B564" s="205" t="s">
        <v>232</v>
      </c>
      <c r="C564" s="205" t="s">
        <v>182</v>
      </c>
      <c r="D564" s="202" t="s">
        <v>233</v>
      </c>
      <c r="E564" s="202"/>
      <c r="F564" s="202"/>
      <c r="G564" s="222"/>
      <c r="H564" s="206">
        <v>0</v>
      </c>
      <c r="I564" s="210"/>
      <c r="J564" s="200" t="s">
        <v>192</v>
      </c>
    </row>
    <row r="565" spans="1:10" s="247" customFormat="1" ht="15" hidden="1" outlineLevel="1">
      <c r="A565" s="231"/>
      <c r="B565" s="204"/>
      <c r="C565" s="204"/>
      <c r="D565" s="203"/>
      <c r="E565" s="203"/>
      <c r="F565" s="203"/>
      <c r="G565" s="207" t="s">
        <v>234</v>
      </c>
      <c r="H565" s="208">
        <f>SUM(H564)</f>
        <v>0</v>
      </c>
      <c r="I565" s="210"/>
      <c r="J565" s="200"/>
    </row>
    <row r="566" spans="1:10" s="247" customFormat="1" ht="15" hidden="1" outlineLevel="1">
      <c r="A566" s="231"/>
      <c r="B566" s="204"/>
      <c r="C566" s="204"/>
      <c r="D566" s="203"/>
      <c r="E566" s="203"/>
      <c r="F566" s="203"/>
      <c r="G566" s="248"/>
      <c r="H566" s="208"/>
      <c r="I566" s="210"/>
      <c r="J566" s="200"/>
    </row>
    <row r="567" spans="1:10" s="173" customFormat="1" ht="15" collapsed="1">
      <c r="A567" s="174"/>
      <c r="B567" s="175"/>
      <c r="C567" s="175"/>
      <c r="D567" s="176"/>
      <c r="E567" s="176"/>
      <c r="F567" s="176"/>
      <c r="G567" s="201" t="s">
        <v>845</v>
      </c>
      <c r="H567" s="177">
        <f>H562+H565</f>
        <v>815000</v>
      </c>
      <c r="I567" s="172"/>
      <c r="J567" s="178"/>
    </row>
    <row r="568" spans="1:10" s="247" customFormat="1" ht="15" hidden="1" outlineLevel="1">
      <c r="A568" s="231"/>
      <c r="B568" s="204"/>
      <c r="C568" s="204"/>
      <c r="D568" s="203"/>
      <c r="E568" s="203"/>
      <c r="F568" s="203"/>
      <c r="G568" s="207"/>
      <c r="H568" s="208"/>
      <c r="I568" s="210"/>
      <c r="J568" s="200"/>
    </row>
    <row r="569" spans="1:10" s="247" customFormat="1" ht="15" hidden="1" outlineLevel="1">
      <c r="A569" s="234">
        <v>42370</v>
      </c>
      <c r="B569" s="205" t="s">
        <v>235</v>
      </c>
      <c r="C569" s="205" t="s">
        <v>182</v>
      </c>
      <c r="D569" s="202" t="s">
        <v>236</v>
      </c>
      <c r="E569" s="202"/>
      <c r="F569" s="202"/>
      <c r="G569" s="222"/>
      <c r="H569" s="206">
        <v>0</v>
      </c>
      <c r="I569" s="210"/>
      <c r="J569" s="200" t="s">
        <v>192</v>
      </c>
    </row>
    <row r="570" spans="1:10" s="247" customFormat="1" ht="15" hidden="1" outlineLevel="1">
      <c r="A570" s="231"/>
      <c r="B570" s="204"/>
      <c r="C570" s="204"/>
      <c r="D570" s="203"/>
      <c r="E570" s="203"/>
      <c r="F570" s="203"/>
      <c r="G570" s="207" t="s">
        <v>237</v>
      </c>
      <c r="H570" s="208">
        <f>SUM(H569)</f>
        <v>0</v>
      </c>
      <c r="I570" s="210"/>
      <c r="J570" s="200"/>
    </row>
    <row r="571" spans="1:10" s="247" customFormat="1" ht="15" hidden="1" outlineLevel="1">
      <c r="A571" s="231"/>
      <c r="B571" s="204"/>
      <c r="C571" s="204"/>
      <c r="D571" s="203"/>
      <c r="E571" s="203"/>
      <c r="F571" s="203"/>
      <c r="G571" s="207"/>
      <c r="H571" s="208"/>
      <c r="I571" s="210"/>
      <c r="J571" s="200"/>
    </row>
    <row r="572" spans="1:10" s="247" customFormat="1" ht="15" hidden="1" outlineLevel="1">
      <c r="A572" s="234">
        <v>42488</v>
      </c>
      <c r="B572" s="205" t="s">
        <v>235</v>
      </c>
      <c r="C572" s="205" t="s">
        <v>491</v>
      </c>
      <c r="D572" s="202" t="s">
        <v>1070</v>
      </c>
      <c r="E572" s="202"/>
      <c r="F572" s="202"/>
      <c r="G572" s="222"/>
      <c r="H572" s="206">
        <v>0</v>
      </c>
      <c r="I572" s="210" t="s">
        <v>926</v>
      </c>
      <c r="J572" s="200" t="s">
        <v>887</v>
      </c>
    </row>
    <row r="573" spans="1:10" s="247" customFormat="1" ht="15" hidden="1" outlineLevel="1">
      <c r="A573" s="231"/>
      <c r="B573" s="204"/>
      <c r="C573" s="204"/>
      <c r="D573" s="203"/>
      <c r="E573" s="203"/>
      <c r="F573" s="203"/>
      <c r="G573" s="207" t="s">
        <v>925</v>
      </c>
      <c r="H573" s="208">
        <f>SUM(H572)</f>
        <v>0</v>
      </c>
      <c r="I573" s="210"/>
      <c r="J573" s="200"/>
    </row>
    <row r="574" spans="1:10" s="247" customFormat="1" ht="15" hidden="1" outlineLevel="1">
      <c r="A574" s="231"/>
      <c r="B574" s="204"/>
      <c r="C574" s="204"/>
      <c r="D574" s="203"/>
      <c r="E574" s="203"/>
      <c r="F574" s="203"/>
      <c r="G574" s="207"/>
      <c r="H574" s="208"/>
      <c r="I574" s="210"/>
      <c r="J574" s="200"/>
    </row>
    <row r="575" spans="1:10" s="247" customFormat="1" ht="15" hidden="1" outlineLevel="1">
      <c r="A575" s="231"/>
      <c r="B575" s="204"/>
      <c r="C575" s="204"/>
      <c r="D575" s="203"/>
      <c r="E575" s="203"/>
      <c r="F575" s="203"/>
      <c r="G575" s="207" t="s">
        <v>927</v>
      </c>
      <c r="H575" s="208">
        <f>H570+H573</f>
        <v>0</v>
      </c>
      <c r="I575" s="210"/>
      <c r="J575" s="200"/>
    </row>
    <row r="576" spans="1:10" s="247" customFormat="1" ht="15" hidden="1" outlineLevel="1">
      <c r="A576" s="231"/>
      <c r="B576" s="204"/>
      <c r="C576" s="204"/>
      <c r="D576" s="203"/>
      <c r="E576" s="203"/>
      <c r="F576" s="203"/>
      <c r="G576" s="207"/>
      <c r="H576" s="208"/>
      <c r="I576" s="210"/>
      <c r="J576" s="200"/>
    </row>
    <row r="577" spans="1:10" s="247" customFormat="1" ht="15" hidden="1" outlineLevel="1">
      <c r="A577" s="234">
        <v>42370</v>
      </c>
      <c r="B577" s="205" t="s">
        <v>238</v>
      </c>
      <c r="C577" s="205" t="s">
        <v>182</v>
      </c>
      <c r="D577" s="202" t="s">
        <v>239</v>
      </c>
      <c r="E577" s="202"/>
      <c r="F577" s="202"/>
      <c r="G577" s="222"/>
      <c r="H577" s="206">
        <v>0</v>
      </c>
      <c r="I577" s="210"/>
      <c r="J577" s="200" t="s">
        <v>192</v>
      </c>
    </row>
    <row r="578" spans="1:10" s="247" customFormat="1" ht="15" hidden="1" outlineLevel="1">
      <c r="A578" s="231"/>
      <c r="B578" s="204"/>
      <c r="C578" s="204"/>
      <c r="D578" s="203"/>
      <c r="E578" s="203"/>
      <c r="F578" s="203"/>
      <c r="G578" s="207" t="s">
        <v>239</v>
      </c>
      <c r="H578" s="208">
        <f>SUM(H577)</f>
        <v>0</v>
      </c>
      <c r="I578" s="210"/>
      <c r="J578" s="200"/>
    </row>
    <row r="579" spans="1:10" s="247" customFormat="1" ht="15" hidden="1" outlineLevel="1">
      <c r="A579" s="231"/>
      <c r="B579" s="204"/>
      <c r="C579" s="204"/>
      <c r="D579" s="203"/>
      <c r="E579" s="203"/>
      <c r="F579" s="203"/>
      <c r="G579" s="207"/>
      <c r="H579" s="208"/>
      <c r="I579" s="210"/>
      <c r="J579" s="200"/>
    </row>
    <row r="580" spans="1:10" s="247" customFormat="1" ht="15" hidden="1" outlineLevel="1">
      <c r="A580" s="234">
        <v>42278</v>
      </c>
      <c r="B580" s="205" t="s">
        <v>238</v>
      </c>
      <c r="C580" s="205" t="s">
        <v>672</v>
      </c>
      <c r="D580" s="202" t="s">
        <v>945</v>
      </c>
      <c r="E580" s="202"/>
      <c r="F580" s="202"/>
      <c r="G580" s="222"/>
      <c r="H580" s="206">
        <v>0</v>
      </c>
      <c r="I580" s="210" t="s">
        <v>947</v>
      </c>
      <c r="J580" s="200" t="s">
        <v>887</v>
      </c>
    </row>
    <row r="581" spans="1:10" s="247" customFormat="1" ht="15" hidden="1" outlineLevel="1">
      <c r="A581" s="231"/>
      <c r="B581" s="204"/>
      <c r="C581" s="204"/>
      <c r="D581" s="203"/>
      <c r="E581" s="203"/>
      <c r="F581" s="203"/>
      <c r="G581" s="207" t="s">
        <v>946</v>
      </c>
      <c r="H581" s="208">
        <f>SUM(H580)</f>
        <v>0</v>
      </c>
      <c r="I581" s="210"/>
      <c r="J581" s="200"/>
    </row>
    <row r="582" spans="1:10" s="247" customFormat="1" ht="15" hidden="1" outlineLevel="1">
      <c r="A582" s="231"/>
      <c r="B582" s="204"/>
      <c r="C582" s="204"/>
      <c r="D582" s="203"/>
      <c r="E582" s="203"/>
      <c r="F582" s="203"/>
      <c r="G582" s="207"/>
      <c r="H582" s="208"/>
      <c r="I582" s="210"/>
      <c r="J582" s="200"/>
    </row>
    <row r="583" spans="1:10" s="247" customFormat="1" ht="15" hidden="1" outlineLevel="1">
      <c r="A583" s="231"/>
      <c r="B583" s="204"/>
      <c r="C583" s="204"/>
      <c r="D583" s="203"/>
      <c r="E583" s="203"/>
      <c r="F583" s="203"/>
      <c r="G583" s="207" t="s">
        <v>948</v>
      </c>
      <c r="H583" s="208">
        <f>H578+H581</f>
        <v>0</v>
      </c>
      <c r="I583" s="210"/>
      <c r="J583" s="200"/>
    </row>
    <row r="584" spans="1:10" s="173" customFormat="1" ht="15" collapsed="1">
      <c r="A584" s="174"/>
      <c r="B584" s="175"/>
      <c r="C584" s="175"/>
      <c r="D584" s="176"/>
      <c r="E584" s="176"/>
      <c r="F584" s="176"/>
      <c r="G584" s="201"/>
      <c r="H584" s="177"/>
      <c r="I584" s="172"/>
      <c r="J584" s="178"/>
    </row>
    <row r="585" spans="1:10" s="173" customFormat="1" ht="15">
      <c r="A585" s="168">
        <v>42736</v>
      </c>
      <c r="B585" s="169" t="s">
        <v>1644</v>
      </c>
      <c r="C585" s="169" t="s">
        <v>182</v>
      </c>
      <c r="D585" s="170" t="s">
        <v>1645</v>
      </c>
      <c r="E585" s="170"/>
      <c r="F585" s="170"/>
      <c r="G585" s="185"/>
      <c r="H585" s="171">
        <v>20753116</v>
      </c>
      <c r="I585" s="172"/>
      <c r="J585" s="178" t="s">
        <v>192</v>
      </c>
    </row>
    <row r="586" spans="1:10" s="173" customFormat="1" ht="15">
      <c r="A586" s="174"/>
      <c r="B586" s="175"/>
      <c r="C586" s="175"/>
      <c r="D586" s="176"/>
      <c r="E586" s="176"/>
      <c r="F586" s="176"/>
      <c r="G586" s="201" t="s">
        <v>1645</v>
      </c>
      <c r="H586" s="177">
        <f>SUM(H585)</f>
        <v>20753116</v>
      </c>
      <c r="I586" s="172"/>
      <c r="J586" s="178"/>
    </row>
    <row r="587" spans="1:10" s="247" customFormat="1" ht="15" hidden="1" outlineLevel="1">
      <c r="A587" s="231"/>
      <c r="B587" s="204"/>
      <c r="C587" s="204"/>
      <c r="D587" s="203"/>
      <c r="E587" s="203"/>
      <c r="F587" s="203"/>
      <c r="G587" s="207"/>
      <c r="H587" s="208"/>
      <c r="I587" s="210"/>
      <c r="J587" s="200"/>
    </row>
    <row r="588" spans="1:10" s="247" customFormat="1" ht="15" hidden="1" outlineLevel="1">
      <c r="A588" s="234">
        <v>42516</v>
      </c>
      <c r="B588" s="205" t="s">
        <v>675</v>
      </c>
      <c r="C588" s="205" t="s">
        <v>74</v>
      </c>
      <c r="D588" s="202" t="s">
        <v>1189</v>
      </c>
      <c r="E588" s="202"/>
      <c r="F588" s="202"/>
      <c r="G588" s="222"/>
      <c r="H588" s="206">
        <v>0</v>
      </c>
      <c r="I588" s="210"/>
      <c r="J588" s="200" t="s">
        <v>717</v>
      </c>
    </row>
    <row r="589" spans="1:10" s="247" customFormat="1" ht="15" hidden="1" outlineLevel="1">
      <c r="A589" s="231"/>
      <c r="B589" s="204"/>
      <c r="C589" s="204"/>
      <c r="D589" s="203"/>
      <c r="E589" s="203"/>
      <c r="F589" s="203"/>
      <c r="G589" s="207" t="s">
        <v>1190</v>
      </c>
      <c r="H589" s="208">
        <f>SUM(H588)</f>
        <v>0</v>
      </c>
      <c r="I589" s="210"/>
      <c r="J589" s="200"/>
    </row>
    <row r="590" spans="1:10" s="247" customFormat="1" ht="15" hidden="1" outlineLevel="1">
      <c r="A590" s="231"/>
      <c r="B590" s="204"/>
      <c r="C590" s="204"/>
      <c r="D590" s="203"/>
      <c r="E590" s="203"/>
      <c r="F590" s="203"/>
      <c r="G590" s="207"/>
      <c r="H590" s="208"/>
      <c r="I590" s="210"/>
      <c r="J590" s="200"/>
    </row>
    <row r="591" spans="1:10" s="247" customFormat="1" ht="15" hidden="1" outlineLevel="1">
      <c r="A591" s="234">
        <v>42173</v>
      </c>
      <c r="B591" s="205" t="s">
        <v>675</v>
      </c>
      <c r="C591" s="205" t="s">
        <v>89</v>
      </c>
      <c r="D591" s="202" t="s">
        <v>676</v>
      </c>
      <c r="E591" s="202"/>
      <c r="F591" s="202"/>
      <c r="G591" s="222"/>
      <c r="H591" s="206">
        <v>0</v>
      </c>
      <c r="I591" s="210"/>
      <c r="J591" s="200" t="s">
        <v>73</v>
      </c>
    </row>
    <row r="592" spans="1:10" s="247" customFormat="1" ht="15" hidden="1" outlineLevel="1">
      <c r="A592" s="231"/>
      <c r="B592" s="204"/>
      <c r="C592" s="204"/>
      <c r="D592" s="203"/>
      <c r="E592" s="203"/>
      <c r="F592" s="203"/>
      <c r="G592" s="207" t="s">
        <v>677</v>
      </c>
      <c r="H592" s="208">
        <f>SUM(H591)</f>
        <v>0</v>
      </c>
      <c r="I592" s="210"/>
      <c r="J592" s="200"/>
    </row>
    <row r="593" spans="1:10" s="247" customFormat="1" ht="15" hidden="1" outlineLevel="1">
      <c r="A593" s="231"/>
      <c r="B593" s="204"/>
      <c r="C593" s="204"/>
      <c r="D593" s="203"/>
      <c r="E593" s="203"/>
      <c r="F593" s="203"/>
      <c r="G593" s="207"/>
      <c r="H593" s="208"/>
      <c r="I593" s="210"/>
      <c r="J593" s="200"/>
    </row>
    <row r="594" spans="1:10" s="247" customFormat="1" ht="15" hidden="1" outlineLevel="1">
      <c r="A594" s="231"/>
      <c r="B594" s="204"/>
      <c r="C594" s="204"/>
      <c r="D594" s="203"/>
      <c r="E594" s="203"/>
      <c r="F594" s="203"/>
      <c r="G594" s="207" t="s">
        <v>1191</v>
      </c>
      <c r="H594" s="208">
        <f>H589+H592</f>
        <v>0</v>
      </c>
      <c r="I594" s="210"/>
      <c r="J594" s="200"/>
    </row>
    <row r="595" spans="1:10" s="247" customFormat="1" ht="15" hidden="1" outlineLevel="1">
      <c r="A595" s="231"/>
      <c r="B595" s="204"/>
      <c r="C595" s="204"/>
      <c r="D595" s="203"/>
      <c r="E595" s="203"/>
      <c r="F595" s="203"/>
      <c r="G595" s="207"/>
      <c r="H595" s="208"/>
      <c r="I595" s="210"/>
      <c r="J595" s="200"/>
    </row>
    <row r="596" spans="1:10" s="247" customFormat="1" ht="15" hidden="1" outlineLevel="1">
      <c r="A596" s="234">
        <v>42725</v>
      </c>
      <c r="B596" s="205" t="s">
        <v>1483</v>
      </c>
      <c r="C596" s="205" t="s">
        <v>89</v>
      </c>
      <c r="D596" s="202" t="s">
        <v>1484</v>
      </c>
      <c r="E596" s="202"/>
      <c r="F596" s="202"/>
      <c r="G596" s="222"/>
      <c r="H596" s="206">
        <v>0</v>
      </c>
      <c r="I596" s="210"/>
      <c r="J596" s="200" t="s">
        <v>85</v>
      </c>
    </row>
    <row r="597" spans="1:10" s="247" customFormat="1" ht="15" hidden="1" outlineLevel="1">
      <c r="A597" s="231"/>
      <c r="B597" s="204"/>
      <c r="C597" s="204"/>
      <c r="D597" s="203"/>
      <c r="E597" s="203"/>
      <c r="F597" s="203"/>
      <c r="G597" s="207" t="s">
        <v>677</v>
      </c>
      <c r="H597" s="208">
        <f>SUM(H596)</f>
        <v>0</v>
      </c>
      <c r="I597" s="210"/>
      <c r="J597" s="200"/>
    </row>
    <row r="598" spans="1:10" s="247" customFormat="1" ht="15" hidden="1" outlineLevel="1">
      <c r="A598" s="231"/>
      <c r="B598" s="204"/>
      <c r="C598" s="204"/>
      <c r="D598" s="203"/>
      <c r="E598" s="203"/>
      <c r="F598" s="203"/>
      <c r="G598" s="207"/>
      <c r="H598" s="208"/>
      <c r="I598" s="210"/>
      <c r="J598" s="200"/>
    </row>
    <row r="599" spans="1:10" s="247" customFormat="1" ht="15" hidden="1" outlineLevel="1" collapsed="1">
      <c r="A599" s="231">
        <v>42661</v>
      </c>
      <c r="B599" s="204" t="s">
        <v>92</v>
      </c>
      <c r="C599" s="204" t="s">
        <v>89</v>
      </c>
      <c r="D599" s="203" t="s">
        <v>1226</v>
      </c>
      <c r="E599" s="203"/>
      <c r="F599" s="203"/>
      <c r="G599" s="203"/>
      <c r="H599" s="208">
        <v>0</v>
      </c>
      <c r="I599" s="210"/>
      <c r="J599" s="247" t="s">
        <v>73</v>
      </c>
    </row>
    <row r="600" spans="1:10" ht="15" hidden="1" outlineLevel="1">
      <c r="A600" s="231">
        <v>42661</v>
      </c>
      <c r="B600" s="204" t="s">
        <v>92</v>
      </c>
      <c r="C600" s="204" t="s">
        <v>89</v>
      </c>
      <c r="D600" s="203" t="s">
        <v>1227</v>
      </c>
      <c r="E600" s="203"/>
      <c r="F600" s="203"/>
      <c r="G600" s="203"/>
      <c r="H600" s="208">
        <v>0</v>
      </c>
      <c r="I600" s="210"/>
      <c r="J600" s="247" t="s">
        <v>73</v>
      </c>
    </row>
    <row r="601" spans="1:10" ht="15" hidden="1" outlineLevel="1">
      <c r="A601" s="234">
        <v>42661</v>
      </c>
      <c r="B601" s="205" t="s">
        <v>92</v>
      </c>
      <c r="C601" s="205" t="s">
        <v>89</v>
      </c>
      <c r="D601" s="202" t="s">
        <v>1228</v>
      </c>
      <c r="E601" s="202"/>
      <c r="F601" s="202"/>
      <c r="G601" s="202"/>
      <c r="H601" s="206">
        <v>0</v>
      </c>
      <c r="I601" s="210"/>
      <c r="J601" s="247" t="s">
        <v>73</v>
      </c>
    </row>
    <row r="602" spans="1:10" ht="15" hidden="1" outlineLevel="1">
      <c r="A602" s="231">
        <v>42395</v>
      </c>
      <c r="B602" s="204" t="s">
        <v>92</v>
      </c>
      <c r="C602" s="204" t="s">
        <v>89</v>
      </c>
      <c r="D602" s="203" t="s">
        <v>1495</v>
      </c>
      <c r="E602" s="203"/>
      <c r="F602" s="203"/>
      <c r="G602" s="203"/>
      <c r="H602" s="208">
        <v>0</v>
      </c>
      <c r="I602" s="210"/>
      <c r="J602" s="247" t="s">
        <v>473</v>
      </c>
    </row>
    <row r="603" spans="1:10" ht="15" hidden="1" outlineLevel="1">
      <c r="A603" s="231">
        <v>42761</v>
      </c>
      <c r="B603" s="204" t="s">
        <v>92</v>
      </c>
      <c r="C603" s="204" t="s">
        <v>89</v>
      </c>
      <c r="D603" s="203" t="s">
        <v>1498</v>
      </c>
      <c r="E603" s="203"/>
      <c r="F603" s="203"/>
      <c r="G603" s="203"/>
      <c r="H603" s="208">
        <v>0</v>
      </c>
      <c r="I603" s="210"/>
      <c r="J603" s="247" t="s">
        <v>473</v>
      </c>
    </row>
    <row r="604" spans="1:10" ht="15" hidden="1" outlineLevel="1">
      <c r="A604" s="231">
        <v>42761</v>
      </c>
      <c r="B604" s="204" t="s">
        <v>92</v>
      </c>
      <c r="C604" s="204" t="s">
        <v>89</v>
      </c>
      <c r="D604" s="203" t="s">
        <v>1507</v>
      </c>
      <c r="E604" s="203"/>
      <c r="F604" s="203"/>
      <c r="G604" s="203"/>
      <c r="H604" s="208">
        <v>0</v>
      </c>
      <c r="I604" s="210"/>
      <c r="J604" s="247" t="s">
        <v>473</v>
      </c>
    </row>
    <row r="605" spans="1:10" ht="15" hidden="1" outlineLevel="1">
      <c r="A605" s="231">
        <v>42761</v>
      </c>
      <c r="B605" s="204" t="s">
        <v>92</v>
      </c>
      <c r="C605" s="204" t="s">
        <v>89</v>
      </c>
      <c r="D605" s="203" t="s">
        <v>1496</v>
      </c>
      <c r="E605" s="203"/>
      <c r="F605" s="203"/>
      <c r="G605" s="203"/>
      <c r="H605" s="208">
        <v>0</v>
      </c>
      <c r="I605" s="210"/>
      <c r="J605" s="247" t="s">
        <v>473</v>
      </c>
    </row>
    <row r="606" spans="1:10" ht="15" hidden="1" outlineLevel="1">
      <c r="A606" s="231">
        <v>42761</v>
      </c>
      <c r="B606" s="204" t="s">
        <v>92</v>
      </c>
      <c r="C606" s="204" t="s">
        <v>89</v>
      </c>
      <c r="D606" s="203" t="s">
        <v>1497</v>
      </c>
      <c r="E606" s="203"/>
      <c r="F606" s="203"/>
      <c r="G606" s="203"/>
      <c r="H606" s="208">
        <v>0</v>
      </c>
      <c r="I606" s="210"/>
      <c r="J606" s="247" t="s">
        <v>473</v>
      </c>
    </row>
    <row r="607" spans="1:10" ht="15" hidden="1" outlineLevel="1">
      <c r="A607" s="231">
        <v>42761</v>
      </c>
      <c r="B607" s="204" t="s">
        <v>92</v>
      </c>
      <c r="C607" s="204" t="s">
        <v>89</v>
      </c>
      <c r="D607" s="203" t="s">
        <v>1505</v>
      </c>
      <c r="E607" s="203"/>
      <c r="F607" s="203"/>
      <c r="G607" s="203"/>
      <c r="H607" s="208">
        <v>0</v>
      </c>
      <c r="I607" s="210"/>
      <c r="J607" s="247" t="s">
        <v>473</v>
      </c>
    </row>
    <row r="608" spans="1:10" ht="15" hidden="1" outlineLevel="1">
      <c r="A608" s="231">
        <v>42761</v>
      </c>
      <c r="B608" s="204" t="s">
        <v>92</v>
      </c>
      <c r="C608" s="204" t="s">
        <v>89</v>
      </c>
      <c r="D608" s="203" t="s">
        <v>1510</v>
      </c>
      <c r="E608" s="203"/>
      <c r="F608" s="203"/>
      <c r="G608" s="203"/>
      <c r="H608" s="208">
        <v>0</v>
      </c>
      <c r="I608" s="210"/>
      <c r="J608" s="247" t="s">
        <v>473</v>
      </c>
    </row>
    <row r="609" spans="1:10" ht="15" hidden="1" outlineLevel="1">
      <c r="A609" s="231">
        <v>42761</v>
      </c>
      <c r="B609" s="204" t="s">
        <v>92</v>
      </c>
      <c r="C609" s="204" t="s">
        <v>89</v>
      </c>
      <c r="D609" s="203" t="s">
        <v>1508</v>
      </c>
      <c r="E609" s="203"/>
      <c r="F609" s="203"/>
      <c r="G609" s="203"/>
      <c r="H609" s="208">
        <v>0</v>
      </c>
      <c r="I609" s="210"/>
      <c r="J609" s="247" t="s">
        <v>473</v>
      </c>
    </row>
    <row r="610" spans="1:10" ht="15" hidden="1" outlineLevel="1">
      <c r="A610" s="231">
        <v>42761</v>
      </c>
      <c r="B610" s="204" t="s">
        <v>92</v>
      </c>
      <c r="C610" s="204" t="s">
        <v>89</v>
      </c>
      <c r="D610" s="203" t="s">
        <v>1499</v>
      </c>
      <c r="E610" s="203"/>
      <c r="F610" s="203"/>
      <c r="G610" s="203"/>
      <c r="H610" s="208">
        <v>0</v>
      </c>
      <c r="I610" s="210"/>
      <c r="J610" s="247" t="s">
        <v>473</v>
      </c>
    </row>
    <row r="611" spans="1:10" ht="15" hidden="1" outlineLevel="1">
      <c r="A611" s="231">
        <v>42761</v>
      </c>
      <c r="B611" s="204" t="s">
        <v>92</v>
      </c>
      <c r="C611" s="204" t="s">
        <v>89</v>
      </c>
      <c r="D611" s="203" t="s">
        <v>1500</v>
      </c>
      <c r="E611" s="203"/>
      <c r="F611" s="203"/>
      <c r="G611" s="203"/>
      <c r="H611" s="208">
        <v>0</v>
      </c>
      <c r="I611" s="210"/>
      <c r="J611" s="247" t="s">
        <v>473</v>
      </c>
    </row>
    <row r="612" spans="1:10" ht="15" hidden="1" outlineLevel="1">
      <c r="A612" s="231">
        <v>42761</v>
      </c>
      <c r="B612" s="204" t="s">
        <v>92</v>
      </c>
      <c r="C612" s="204" t="s">
        <v>89</v>
      </c>
      <c r="D612" s="203" t="s">
        <v>1501</v>
      </c>
      <c r="E612" s="203"/>
      <c r="F612" s="203"/>
      <c r="G612" s="203"/>
      <c r="H612" s="208">
        <v>0</v>
      </c>
      <c r="I612" s="210"/>
      <c r="J612" s="247" t="s">
        <v>473</v>
      </c>
    </row>
    <row r="613" spans="1:10" ht="15" hidden="1" outlineLevel="1">
      <c r="A613" s="231">
        <v>42761</v>
      </c>
      <c r="B613" s="204" t="s">
        <v>92</v>
      </c>
      <c r="C613" s="204" t="s">
        <v>89</v>
      </c>
      <c r="D613" s="203" t="s">
        <v>1502</v>
      </c>
      <c r="E613" s="203"/>
      <c r="F613" s="203"/>
      <c r="G613" s="203"/>
      <c r="H613" s="208">
        <v>0</v>
      </c>
      <c r="I613" s="210"/>
      <c r="J613" s="247" t="s">
        <v>473</v>
      </c>
    </row>
    <row r="614" spans="1:10" ht="15" hidden="1" outlineLevel="1">
      <c r="A614" s="231">
        <v>42761</v>
      </c>
      <c r="B614" s="204" t="s">
        <v>92</v>
      </c>
      <c r="C614" s="204" t="s">
        <v>89</v>
      </c>
      <c r="D614" s="203" t="s">
        <v>1503</v>
      </c>
      <c r="E614" s="203"/>
      <c r="F614" s="203"/>
      <c r="G614" s="203"/>
      <c r="H614" s="208">
        <v>0</v>
      </c>
      <c r="I614" s="210"/>
      <c r="J614" s="247" t="s">
        <v>473</v>
      </c>
    </row>
    <row r="615" spans="1:10" ht="15" hidden="1" outlineLevel="1">
      <c r="A615" s="231">
        <v>42761</v>
      </c>
      <c r="B615" s="204" t="s">
        <v>92</v>
      </c>
      <c r="C615" s="204" t="s">
        <v>89</v>
      </c>
      <c r="D615" s="203" t="s">
        <v>1504</v>
      </c>
      <c r="E615" s="203"/>
      <c r="F615" s="203"/>
      <c r="G615" s="203"/>
      <c r="H615" s="208">
        <v>0</v>
      </c>
      <c r="I615" s="210"/>
      <c r="J615" s="247" t="s">
        <v>473</v>
      </c>
    </row>
    <row r="616" spans="1:10" ht="15" hidden="1" outlineLevel="1">
      <c r="A616" s="231">
        <v>42761</v>
      </c>
      <c r="B616" s="204" t="s">
        <v>92</v>
      </c>
      <c r="C616" s="204" t="s">
        <v>89</v>
      </c>
      <c r="D616" s="203" t="s">
        <v>1506</v>
      </c>
      <c r="E616" s="203"/>
      <c r="F616" s="203"/>
      <c r="G616" s="203"/>
      <c r="H616" s="208">
        <v>0</v>
      </c>
      <c r="I616" s="210"/>
      <c r="J616" s="247" t="s">
        <v>473</v>
      </c>
    </row>
    <row r="617" spans="1:10" ht="15" hidden="1" outlineLevel="1">
      <c r="A617" s="234">
        <v>42761</v>
      </c>
      <c r="B617" s="205" t="s">
        <v>92</v>
      </c>
      <c r="C617" s="205" t="s">
        <v>89</v>
      </c>
      <c r="D617" s="202" t="s">
        <v>1509</v>
      </c>
      <c r="E617" s="202"/>
      <c r="F617" s="202"/>
      <c r="G617" s="202"/>
      <c r="H617" s="206">
        <v>0</v>
      </c>
      <c r="I617" s="210"/>
      <c r="J617" s="247" t="s">
        <v>473</v>
      </c>
    </row>
    <row r="618" spans="1:9" s="247" customFormat="1" ht="15" hidden="1" outlineLevel="1" collapsed="1">
      <c r="A618" s="231"/>
      <c r="B618" s="204"/>
      <c r="C618" s="204"/>
      <c r="D618" s="203"/>
      <c r="E618" s="203"/>
      <c r="F618" s="203"/>
      <c r="G618" s="207" t="s">
        <v>115</v>
      </c>
      <c r="H618" s="208">
        <f>SUM(H599:H617)</f>
        <v>0</v>
      </c>
      <c r="I618" s="210"/>
    </row>
    <row r="619" spans="1:9" s="247" customFormat="1" ht="15" hidden="1" outlineLevel="1">
      <c r="A619" s="231"/>
      <c r="B619" s="204"/>
      <c r="C619" s="204"/>
      <c r="D619" s="203"/>
      <c r="E619" s="203"/>
      <c r="F619" s="203"/>
      <c r="G619" s="207"/>
      <c r="H619" s="208"/>
      <c r="I619" s="210"/>
    </row>
    <row r="620" spans="1:10" s="247" customFormat="1" ht="15" hidden="1" outlineLevel="1" collapsed="1">
      <c r="A620" s="234">
        <v>42370</v>
      </c>
      <c r="B620" s="205" t="s">
        <v>1177</v>
      </c>
      <c r="C620" s="205" t="s">
        <v>1173</v>
      </c>
      <c r="D620" s="202" t="s">
        <v>1175</v>
      </c>
      <c r="E620" s="202"/>
      <c r="F620" s="202"/>
      <c r="G620" s="222"/>
      <c r="H620" s="206">
        <v>0</v>
      </c>
      <c r="I620" s="210"/>
      <c r="J620" s="200" t="s">
        <v>760</v>
      </c>
    </row>
    <row r="621" spans="1:9" s="247" customFormat="1" ht="15" hidden="1" outlineLevel="1">
      <c r="A621" s="231"/>
      <c r="B621" s="204"/>
      <c r="C621" s="204"/>
      <c r="D621" s="203"/>
      <c r="E621" s="203"/>
      <c r="F621" s="203"/>
      <c r="G621" s="207" t="s">
        <v>716</v>
      </c>
      <c r="H621" s="208">
        <f>SUM(H620)</f>
        <v>0</v>
      </c>
      <c r="I621" s="210"/>
    </row>
    <row r="622" spans="1:9" s="247" customFormat="1" ht="15" hidden="1" outlineLevel="1">
      <c r="A622" s="231"/>
      <c r="B622" s="204"/>
      <c r="C622" s="204"/>
      <c r="D622" s="203"/>
      <c r="E622" s="203"/>
      <c r="F622" s="203"/>
      <c r="G622" s="207"/>
      <c r="H622" s="208"/>
      <c r="I622" s="210"/>
    </row>
    <row r="623" spans="1:10" s="199" customFormat="1" ht="15" hidden="1" outlineLevel="1">
      <c r="A623" s="217">
        <v>42886</v>
      </c>
      <c r="B623" s="218"/>
      <c r="C623" s="221"/>
      <c r="D623" s="216" t="s">
        <v>1183</v>
      </c>
      <c r="E623" s="216"/>
      <c r="F623" s="216"/>
      <c r="G623" s="207"/>
      <c r="H623" s="208">
        <v>0</v>
      </c>
      <c r="I623" s="216"/>
      <c r="J623" s="199" t="s">
        <v>1184</v>
      </c>
    </row>
    <row r="624" spans="1:9" s="199" customFormat="1" ht="15" hidden="1" outlineLevel="1">
      <c r="A624" s="217"/>
      <c r="B624" s="218"/>
      <c r="C624" s="221"/>
      <c r="D624" s="216"/>
      <c r="E624" s="216"/>
      <c r="F624" s="216"/>
      <c r="G624" s="207"/>
      <c r="H624" s="208"/>
      <c r="I624" s="216"/>
    </row>
    <row r="625" spans="1:10" s="199" customFormat="1" ht="15" hidden="1" outlineLevel="1">
      <c r="A625" s="217">
        <v>42370</v>
      </c>
      <c r="B625" s="218"/>
      <c r="C625" s="221"/>
      <c r="D625" s="216" t="s">
        <v>1185</v>
      </c>
      <c r="E625" s="216"/>
      <c r="F625" s="216"/>
      <c r="G625" s="207"/>
      <c r="H625" s="208">
        <v>0</v>
      </c>
      <c r="I625" s="216"/>
      <c r="J625" s="199" t="s">
        <v>145</v>
      </c>
    </row>
    <row r="626" spans="1:9" s="173" customFormat="1" ht="15" collapsed="1">
      <c r="A626" s="174"/>
      <c r="B626" s="175"/>
      <c r="C626" s="175"/>
      <c r="D626" s="176"/>
      <c r="E626" s="176"/>
      <c r="F626" s="176"/>
      <c r="G626" s="201"/>
      <c r="H626" s="177"/>
      <c r="I626" s="172"/>
    </row>
    <row r="627" spans="1:9" s="173" customFormat="1" ht="15">
      <c r="A627" s="174"/>
      <c r="B627" s="175"/>
      <c r="C627" s="175"/>
      <c r="D627" s="176"/>
      <c r="E627" s="176"/>
      <c r="F627" s="176"/>
      <c r="G627" s="201" t="s">
        <v>130</v>
      </c>
      <c r="H627" s="277">
        <f>H476+H484+H492+H503+H511+H522+H537+H548+H559+H567+H575+H583+H586+H594+H597+H618+H621</f>
        <v>24942243</v>
      </c>
      <c r="I627" s="172"/>
    </row>
    <row r="628" spans="1:9" s="173" customFormat="1" ht="15">
      <c r="A628" s="174"/>
      <c r="B628" s="175"/>
      <c r="C628" s="175"/>
      <c r="D628" s="176"/>
      <c r="E628" s="176"/>
      <c r="F628" s="176"/>
      <c r="G628" s="201" t="s">
        <v>130</v>
      </c>
      <c r="H628" s="277">
        <f>H627+H623+H625</f>
        <v>24942243</v>
      </c>
      <c r="I628" s="172"/>
    </row>
    <row r="629" spans="1:9" s="173" customFormat="1" ht="15">
      <c r="A629" s="174"/>
      <c r="B629" s="175"/>
      <c r="C629" s="175"/>
      <c r="D629" s="176"/>
      <c r="E629" s="176"/>
      <c r="F629" s="176"/>
      <c r="G629" s="201"/>
      <c r="H629" s="277"/>
      <c r="I629" s="172"/>
    </row>
    <row r="630" spans="1:9" s="1" customFormat="1" ht="15">
      <c r="A630" s="289" t="s">
        <v>240</v>
      </c>
      <c r="B630" s="267"/>
      <c r="C630" s="267"/>
      <c r="D630" s="268"/>
      <c r="E630" s="268"/>
      <c r="F630" s="268"/>
      <c r="G630" s="268"/>
      <c r="H630" s="269"/>
      <c r="I630" s="179"/>
    </row>
    <row r="631" spans="1:10" s="247" customFormat="1" ht="15" hidden="1" outlineLevel="1">
      <c r="A631" s="234">
        <v>42370</v>
      </c>
      <c r="B631" s="205" t="s">
        <v>241</v>
      </c>
      <c r="C631" s="205" t="s">
        <v>182</v>
      </c>
      <c r="D631" s="202" t="s">
        <v>242</v>
      </c>
      <c r="E631" s="202"/>
      <c r="F631" s="202"/>
      <c r="G631" s="202"/>
      <c r="H631" s="206">
        <v>0</v>
      </c>
      <c r="I631" s="210"/>
      <c r="J631" s="200" t="s">
        <v>192</v>
      </c>
    </row>
    <row r="632" spans="1:9" s="247" customFormat="1" ht="15" hidden="1" outlineLevel="1">
      <c r="A632" s="231"/>
      <c r="B632" s="204"/>
      <c r="C632" s="204"/>
      <c r="D632" s="203"/>
      <c r="E632" s="203"/>
      <c r="F632" s="203"/>
      <c r="G632" s="207" t="s">
        <v>242</v>
      </c>
      <c r="H632" s="208">
        <f>SUM(H631)</f>
        <v>0</v>
      </c>
      <c r="I632" s="210"/>
    </row>
    <row r="633" spans="1:9" s="247" customFormat="1" ht="15" hidden="1" outlineLevel="1">
      <c r="A633" s="231"/>
      <c r="B633" s="204"/>
      <c r="C633" s="204"/>
      <c r="D633" s="203"/>
      <c r="E633" s="203"/>
      <c r="F633" s="203"/>
      <c r="G633" s="207"/>
      <c r="H633" s="208"/>
      <c r="I633" s="210"/>
    </row>
    <row r="634" spans="1:10" s="247" customFormat="1" ht="15" hidden="1" outlineLevel="1">
      <c r="A634" s="234">
        <v>42439</v>
      </c>
      <c r="B634" s="205" t="s">
        <v>243</v>
      </c>
      <c r="C634" s="205" t="s">
        <v>72</v>
      </c>
      <c r="D634" s="202" t="s">
        <v>991</v>
      </c>
      <c r="E634" s="202"/>
      <c r="F634" s="202"/>
      <c r="G634" s="222"/>
      <c r="H634" s="206">
        <v>0</v>
      </c>
      <c r="I634" s="210"/>
      <c r="J634" s="200" t="s">
        <v>103</v>
      </c>
    </row>
    <row r="635" spans="1:9" s="247" customFormat="1" ht="15" hidden="1" outlineLevel="1">
      <c r="A635" s="231"/>
      <c r="B635" s="204"/>
      <c r="C635" s="204"/>
      <c r="D635" s="203"/>
      <c r="E635" s="203"/>
      <c r="F635" s="203"/>
      <c r="G635" s="207" t="s">
        <v>992</v>
      </c>
      <c r="H635" s="208">
        <f>SUM(H634)</f>
        <v>0</v>
      </c>
      <c r="I635" s="210"/>
    </row>
    <row r="636" spans="1:9" s="247" customFormat="1" ht="15" hidden="1" outlineLevel="1">
      <c r="A636" s="231"/>
      <c r="B636" s="204"/>
      <c r="C636" s="204"/>
      <c r="D636" s="203"/>
      <c r="E636" s="203"/>
      <c r="F636" s="203"/>
      <c r="G636" s="207"/>
      <c r="H636" s="208"/>
      <c r="I636" s="210"/>
    </row>
    <row r="637" spans="1:10" s="173" customFormat="1" ht="15" collapsed="1">
      <c r="A637" s="168">
        <v>42736</v>
      </c>
      <c r="B637" s="169" t="s">
        <v>243</v>
      </c>
      <c r="C637" s="169" t="s">
        <v>182</v>
      </c>
      <c r="D637" s="170" t="s">
        <v>244</v>
      </c>
      <c r="E637" s="170"/>
      <c r="F637" s="170"/>
      <c r="G637" s="185"/>
      <c r="H637" s="171">
        <v>1231116</v>
      </c>
      <c r="I637" s="172"/>
      <c r="J637" s="178" t="s">
        <v>192</v>
      </c>
    </row>
    <row r="638" spans="1:9" s="173" customFormat="1" ht="15">
      <c r="A638" s="174"/>
      <c r="B638" s="175"/>
      <c r="C638" s="175"/>
      <c r="D638" s="176"/>
      <c r="E638" s="176"/>
      <c r="F638" s="176"/>
      <c r="G638" s="201" t="s">
        <v>244</v>
      </c>
      <c r="H638" s="177">
        <f>SUM(H637)</f>
        <v>1231116</v>
      </c>
      <c r="I638" s="172"/>
    </row>
    <row r="639" spans="1:9" s="173" customFormat="1" ht="15">
      <c r="A639" s="174"/>
      <c r="B639" s="175"/>
      <c r="C639" s="175"/>
      <c r="D639" s="176"/>
      <c r="E639" s="176"/>
      <c r="F639" s="176"/>
      <c r="G639" s="201"/>
      <c r="H639" s="177"/>
      <c r="I639" s="172"/>
    </row>
    <row r="640" spans="1:10" s="173" customFormat="1" ht="15">
      <c r="A640" s="168">
        <v>42736</v>
      </c>
      <c r="B640" s="169" t="s">
        <v>243</v>
      </c>
      <c r="C640" s="169" t="s">
        <v>1640</v>
      </c>
      <c r="D640" s="170" t="s">
        <v>1646</v>
      </c>
      <c r="E640" s="170"/>
      <c r="F640" s="170"/>
      <c r="G640" s="185"/>
      <c r="H640" s="171">
        <v>-73000</v>
      </c>
      <c r="I640" s="172"/>
      <c r="J640" s="178" t="s">
        <v>188</v>
      </c>
    </row>
    <row r="641" spans="1:9" s="173" customFormat="1" ht="15">
      <c r="A641" s="174"/>
      <c r="B641" s="175"/>
      <c r="C641" s="175"/>
      <c r="D641" s="176"/>
      <c r="E641" s="176"/>
      <c r="F641" s="176"/>
      <c r="G641" s="201" t="s">
        <v>705</v>
      </c>
      <c r="H641" s="177">
        <f>SUM(H640)</f>
        <v>-73000</v>
      </c>
      <c r="I641" s="172"/>
    </row>
    <row r="642" spans="1:9" s="173" customFormat="1" ht="15">
      <c r="A642" s="174"/>
      <c r="B642" s="175"/>
      <c r="C642" s="175"/>
      <c r="D642" s="176"/>
      <c r="E642" s="176"/>
      <c r="F642" s="176"/>
      <c r="G642" s="201"/>
      <c r="H642" s="177"/>
      <c r="I642" s="172"/>
    </row>
    <row r="643" spans="1:10" s="173" customFormat="1" ht="15">
      <c r="A643" s="174"/>
      <c r="B643" s="175"/>
      <c r="C643" s="175"/>
      <c r="D643" s="176"/>
      <c r="E643" s="176"/>
      <c r="F643" s="176"/>
      <c r="G643" s="201" t="s">
        <v>706</v>
      </c>
      <c r="H643" s="177">
        <f>H635+H638+H641</f>
        <v>1158116</v>
      </c>
      <c r="I643" s="172"/>
      <c r="J643" s="178"/>
    </row>
    <row r="644" spans="1:10" s="247" customFormat="1" ht="15" hidden="1" outlineLevel="1">
      <c r="A644" s="231"/>
      <c r="B644" s="204"/>
      <c r="C644" s="204"/>
      <c r="D644" s="203"/>
      <c r="E644" s="203"/>
      <c r="F644" s="203"/>
      <c r="G644" s="207"/>
      <c r="H644" s="208"/>
      <c r="I644" s="210"/>
      <c r="J644" s="200"/>
    </row>
    <row r="645" spans="1:10" s="247" customFormat="1" ht="15" hidden="1" outlineLevel="1">
      <c r="A645" s="234">
        <v>42278</v>
      </c>
      <c r="B645" s="205" t="s">
        <v>901</v>
      </c>
      <c r="C645" s="205" t="s">
        <v>899</v>
      </c>
      <c r="D645" s="202" t="s">
        <v>902</v>
      </c>
      <c r="E645" s="202"/>
      <c r="F645" s="202"/>
      <c r="G645" s="222"/>
      <c r="H645" s="206">
        <v>0</v>
      </c>
      <c r="I645" s="210" t="s">
        <v>904</v>
      </c>
      <c r="J645" s="200" t="s">
        <v>696</v>
      </c>
    </row>
    <row r="646" spans="1:9" s="247" customFormat="1" ht="15" hidden="1" outlineLevel="1">
      <c r="A646" s="231"/>
      <c r="B646" s="204"/>
      <c r="C646" s="204"/>
      <c r="D646" s="203"/>
      <c r="E646" s="203"/>
      <c r="F646" s="203"/>
      <c r="G646" s="207" t="s">
        <v>903</v>
      </c>
      <c r="H646" s="208">
        <f>SUM(H645)</f>
        <v>0</v>
      </c>
      <c r="I646" s="210"/>
    </row>
    <row r="647" spans="1:9" s="247" customFormat="1" ht="15" hidden="1" outlineLevel="1">
      <c r="A647" s="231"/>
      <c r="B647" s="204"/>
      <c r="C647" s="204"/>
      <c r="D647" s="203"/>
      <c r="E647" s="203"/>
      <c r="F647" s="203"/>
      <c r="G647" s="207"/>
      <c r="H647" s="208"/>
      <c r="I647" s="210"/>
    </row>
    <row r="648" spans="1:10" s="247" customFormat="1" ht="15" hidden="1" outlineLevel="1" collapsed="1">
      <c r="A648" s="234">
        <v>42661</v>
      </c>
      <c r="B648" s="205" t="s">
        <v>471</v>
      </c>
      <c r="C648" s="205" t="s">
        <v>89</v>
      </c>
      <c r="D648" s="202" t="s">
        <v>671</v>
      </c>
      <c r="E648" s="202"/>
      <c r="F648" s="202"/>
      <c r="G648" s="222"/>
      <c r="H648" s="206">
        <v>0</v>
      </c>
      <c r="I648" s="210"/>
      <c r="J648" s="200" t="s">
        <v>73</v>
      </c>
    </row>
    <row r="649" spans="1:9" s="247" customFormat="1" ht="15" hidden="1" outlineLevel="1">
      <c r="A649" s="231"/>
      <c r="B649" s="204"/>
      <c r="C649" s="204"/>
      <c r="D649" s="203"/>
      <c r="E649" s="203"/>
      <c r="F649" s="203"/>
      <c r="G649" s="207" t="s">
        <v>472</v>
      </c>
      <c r="H649" s="208">
        <f>SUM(H648)</f>
        <v>0</v>
      </c>
      <c r="I649" s="210"/>
    </row>
    <row r="650" spans="1:9" s="247" customFormat="1" ht="15" hidden="1" outlineLevel="1">
      <c r="A650" s="231"/>
      <c r="B650" s="204"/>
      <c r="C650" s="204"/>
      <c r="D650" s="203"/>
      <c r="E650" s="203"/>
      <c r="F650" s="203"/>
      <c r="G650" s="207"/>
      <c r="H650" s="208"/>
      <c r="I650" s="210"/>
    </row>
    <row r="651" spans="1:10" s="247" customFormat="1" ht="15" hidden="1" outlineLevel="1">
      <c r="A651" s="234">
        <v>42370</v>
      </c>
      <c r="B651" s="205" t="s">
        <v>1186</v>
      </c>
      <c r="C651" s="205" t="s">
        <v>1173</v>
      </c>
      <c r="D651" s="202" t="s">
        <v>1175</v>
      </c>
      <c r="E651" s="202"/>
      <c r="F651" s="202"/>
      <c r="G651" s="222"/>
      <c r="H651" s="206">
        <v>0</v>
      </c>
      <c r="I651" s="210"/>
      <c r="J651" s="200" t="s">
        <v>760</v>
      </c>
    </row>
    <row r="652" spans="1:9" s="247" customFormat="1" ht="15" hidden="1" outlineLevel="1">
      <c r="A652" s="231"/>
      <c r="B652" s="204"/>
      <c r="C652" s="204"/>
      <c r="D652" s="203"/>
      <c r="E652" s="203"/>
      <c r="F652" s="203"/>
      <c r="G652" s="207" t="s">
        <v>716</v>
      </c>
      <c r="H652" s="208">
        <f>SUM(H651)</f>
        <v>0</v>
      </c>
      <c r="I652" s="210"/>
    </row>
    <row r="653" spans="1:9" s="247" customFormat="1" ht="15" hidden="1" outlineLevel="1">
      <c r="A653" s="231"/>
      <c r="B653" s="204"/>
      <c r="C653" s="204"/>
      <c r="D653" s="203"/>
      <c r="E653" s="203"/>
      <c r="F653" s="203"/>
      <c r="G653" s="207"/>
      <c r="H653" s="208"/>
      <c r="I653" s="210"/>
    </row>
    <row r="654" spans="1:10" s="199" customFormat="1" ht="15" hidden="1" outlineLevel="1">
      <c r="A654" s="217">
        <v>42370</v>
      </c>
      <c r="B654" s="218"/>
      <c r="C654" s="221"/>
      <c r="D654" s="216" t="s">
        <v>1183</v>
      </c>
      <c r="E654" s="216"/>
      <c r="F654" s="216"/>
      <c r="G654" s="207"/>
      <c r="H654" s="208">
        <v>0</v>
      </c>
      <c r="I654" s="216"/>
      <c r="J654" s="199" t="s">
        <v>1184</v>
      </c>
    </row>
    <row r="655" spans="1:9" s="199" customFormat="1" ht="15" hidden="1" outlineLevel="1">
      <c r="A655" s="217"/>
      <c r="B655" s="218"/>
      <c r="C655" s="221"/>
      <c r="D655" s="216"/>
      <c r="E655" s="216"/>
      <c r="F655" s="216"/>
      <c r="G655" s="207"/>
      <c r="H655" s="208"/>
      <c r="I655" s="216"/>
    </row>
    <row r="656" spans="1:10" s="199" customFormat="1" ht="15" hidden="1" outlineLevel="1">
      <c r="A656" s="217">
        <v>42370</v>
      </c>
      <c r="B656" s="218"/>
      <c r="C656" s="221"/>
      <c r="D656" s="216" t="s">
        <v>1185</v>
      </c>
      <c r="E656" s="216"/>
      <c r="F656" s="216"/>
      <c r="G656" s="207"/>
      <c r="H656" s="208">
        <v>0</v>
      </c>
      <c r="I656" s="216"/>
      <c r="J656" s="199" t="s">
        <v>145</v>
      </c>
    </row>
    <row r="657" spans="1:9" s="173" customFormat="1" ht="15" collapsed="1">
      <c r="A657" s="174"/>
      <c r="B657" s="175"/>
      <c r="C657" s="175"/>
      <c r="D657" s="176"/>
      <c r="E657" s="176"/>
      <c r="F657" s="176"/>
      <c r="G657" s="201"/>
      <c r="H657" s="177"/>
      <c r="I657" s="172"/>
    </row>
    <row r="658" spans="1:9" s="173" customFormat="1" ht="15" collapsed="1">
      <c r="A658" s="174"/>
      <c r="B658" s="175"/>
      <c r="C658" s="175"/>
      <c r="D658" s="176"/>
      <c r="E658" s="176"/>
      <c r="F658" s="176"/>
      <c r="G658" s="201" t="s">
        <v>240</v>
      </c>
      <c r="H658" s="277">
        <f>H632+H643+H646+H649+H652</f>
        <v>1158116</v>
      </c>
      <c r="I658" s="172"/>
    </row>
    <row r="659" spans="1:9" s="173" customFormat="1" ht="15">
      <c r="A659" s="174"/>
      <c r="B659" s="175"/>
      <c r="C659" s="175"/>
      <c r="D659" s="176"/>
      <c r="E659" s="176"/>
      <c r="F659" s="176"/>
      <c r="G659" s="201" t="s">
        <v>240</v>
      </c>
      <c r="H659" s="277">
        <f>H658+H654+H656</f>
        <v>1158116</v>
      </c>
      <c r="I659" s="172"/>
    </row>
    <row r="660" spans="1:9" s="173" customFormat="1" ht="15">
      <c r="A660" s="174"/>
      <c r="B660" s="175"/>
      <c r="C660" s="175"/>
      <c r="D660" s="176"/>
      <c r="E660" s="176"/>
      <c r="F660" s="176"/>
      <c r="G660" s="201"/>
      <c r="H660" s="277"/>
      <c r="I660" s="172"/>
    </row>
    <row r="661" spans="1:9" s="1" customFormat="1" ht="15">
      <c r="A661" s="289" t="s">
        <v>459</v>
      </c>
      <c r="B661" s="267"/>
      <c r="C661" s="267"/>
      <c r="D661" s="268"/>
      <c r="E661" s="268"/>
      <c r="F661" s="268"/>
      <c r="G661" s="268"/>
      <c r="H661" s="269"/>
      <c r="I661" s="179"/>
    </row>
    <row r="662" spans="1:10" s="173" customFormat="1" ht="15" hidden="1" outlineLevel="1">
      <c r="A662" s="168">
        <v>42370</v>
      </c>
      <c r="B662" s="169" t="s">
        <v>1141</v>
      </c>
      <c r="C662" s="169" t="s">
        <v>672</v>
      </c>
      <c r="D662" s="184" t="s">
        <v>1139</v>
      </c>
      <c r="E662" s="170"/>
      <c r="F662" s="170"/>
      <c r="G662" s="185"/>
      <c r="H662" s="171">
        <v>0</v>
      </c>
      <c r="I662" s="172"/>
      <c r="J662" s="178" t="s">
        <v>760</v>
      </c>
    </row>
    <row r="663" spans="1:9" s="173" customFormat="1" ht="15" hidden="1" outlineLevel="1">
      <c r="A663" s="174"/>
      <c r="B663" s="175"/>
      <c r="C663" s="175"/>
      <c r="D663" s="176"/>
      <c r="E663" s="176"/>
      <c r="F663" s="176"/>
      <c r="G663" s="201" t="s">
        <v>1142</v>
      </c>
      <c r="H663" s="177">
        <f>SUM(H662)</f>
        <v>0</v>
      </c>
      <c r="I663" s="172"/>
    </row>
    <row r="664" spans="1:9" s="1" customFormat="1" ht="15" hidden="1" outlineLevel="1">
      <c r="A664" s="289"/>
      <c r="B664" s="267"/>
      <c r="C664" s="267"/>
      <c r="D664" s="268"/>
      <c r="E664" s="268"/>
      <c r="F664" s="268"/>
      <c r="G664" s="268"/>
      <c r="H664" s="269"/>
      <c r="I664" s="179"/>
    </row>
    <row r="665" spans="1:10" s="2" customFormat="1" ht="15" hidden="1" outlineLevel="1">
      <c r="A665" s="182">
        <v>42152</v>
      </c>
      <c r="B665" s="183" t="s">
        <v>460</v>
      </c>
      <c r="C665" s="183" t="s">
        <v>461</v>
      </c>
      <c r="D665" s="184" t="s">
        <v>462</v>
      </c>
      <c r="E665" s="184"/>
      <c r="F665" s="184"/>
      <c r="G665" s="184"/>
      <c r="H665" s="186">
        <v>0</v>
      </c>
      <c r="I665" s="187"/>
      <c r="J665" s="2" t="s">
        <v>463</v>
      </c>
    </row>
    <row r="666" spans="1:9" s="2" customFormat="1" ht="15" hidden="1" outlineLevel="1">
      <c r="A666" s="188"/>
      <c r="B666" s="189"/>
      <c r="C666" s="189"/>
      <c r="D666" s="190"/>
      <c r="E666" s="190"/>
      <c r="F666" s="190"/>
      <c r="G666" s="195" t="s">
        <v>975</v>
      </c>
      <c r="H666" s="191">
        <f>SUM(H665)</f>
        <v>0</v>
      </c>
      <c r="I666" s="187"/>
    </row>
    <row r="667" spans="1:9" s="2" customFormat="1" ht="15" hidden="1" outlineLevel="1">
      <c r="A667" s="188"/>
      <c r="B667" s="189"/>
      <c r="C667" s="189"/>
      <c r="D667" s="190"/>
      <c r="E667" s="190"/>
      <c r="F667" s="190"/>
      <c r="G667" s="195"/>
      <c r="H667" s="191"/>
      <c r="I667" s="187"/>
    </row>
    <row r="668" spans="1:10" s="2" customFormat="1" ht="15" hidden="1" outlineLevel="1">
      <c r="A668" s="182">
        <v>42152</v>
      </c>
      <c r="B668" s="183" t="s">
        <v>460</v>
      </c>
      <c r="C668" s="183" t="s">
        <v>464</v>
      </c>
      <c r="D668" s="184" t="s">
        <v>465</v>
      </c>
      <c r="E668" s="184"/>
      <c r="F668" s="184"/>
      <c r="G668" s="184"/>
      <c r="H668" s="186">
        <v>0</v>
      </c>
      <c r="I668" s="187"/>
      <c r="J668" s="2" t="s">
        <v>463</v>
      </c>
    </row>
    <row r="669" spans="1:9" s="2" customFormat="1" ht="15" hidden="1" outlineLevel="1">
      <c r="A669" s="188"/>
      <c r="B669" s="189"/>
      <c r="C669" s="189"/>
      <c r="D669" s="190"/>
      <c r="E669" s="190"/>
      <c r="F669" s="190"/>
      <c r="G669" s="195" t="s">
        <v>466</v>
      </c>
      <c r="H669" s="191">
        <f>SUM(H668)</f>
        <v>0</v>
      </c>
      <c r="I669" s="187"/>
    </row>
    <row r="670" spans="1:9" s="2" customFormat="1" ht="15" hidden="1" outlineLevel="1">
      <c r="A670" s="188"/>
      <c r="B670" s="189"/>
      <c r="C670" s="189"/>
      <c r="D670" s="190"/>
      <c r="E670" s="190"/>
      <c r="F670" s="190"/>
      <c r="G670" s="195"/>
      <c r="H670" s="191"/>
      <c r="I670" s="187"/>
    </row>
    <row r="671" spans="1:10" s="2" customFormat="1" ht="15" hidden="1" outlineLevel="1">
      <c r="A671" s="182">
        <v>42370</v>
      </c>
      <c r="B671" s="183" t="s">
        <v>1018</v>
      </c>
      <c r="C671" s="183" t="s">
        <v>761</v>
      </c>
      <c r="D671" s="184" t="s">
        <v>1019</v>
      </c>
      <c r="E671" s="184"/>
      <c r="F671" s="184"/>
      <c r="G671" s="184"/>
      <c r="H671" s="186">
        <v>0</v>
      </c>
      <c r="I671" s="187"/>
      <c r="J671" s="2" t="s">
        <v>192</v>
      </c>
    </row>
    <row r="672" spans="1:9" s="2" customFormat="1" ht="15" hidden="1" outlineLevel="1">
      <c r="A672" s="188"/>
      <c r="B672" s="189"/>
      <c r="C672" s="189"/>
      <c r="D672" s="190"/>
      <c r="E672" s="190"/>
      <c r="F672" s="190"/>
      <c r="G672" s="195" t="s">
        <v>1133</v>
      </c>
      <c r="H672" s="191">
        <f>SUM(H671)</f>
        <v>0</v>
      </c>
      <c r="I672" s="187"/>
    </row>
    <row r="673" spans="1:9" s="173" customFormat="1" ht="15" collapsed="1">
      <c r="A673" s="174"/>
      <c r="B673" s="175"/>
      <c r="C673" s="175"/>
      <c r="D673" s="176"/>
      <c r="E673" s="176"/>
      <c r="F673" s="176"/>
      <c r="G673" s="201"/>
      <c r="H673" s="177"/>
      <c r="I673" s="172"/>
    </row>
    <row r="674" spans="1:9" s="173" customFormat="1" ht="15">
      <c r="A674" s="174"/>
      <c r="B674" s="175"/>
      <c r="C674" s="175"/>
      <c r="D674" s="176"/>
      <c r="E674" s="176"/>
      <c r="F674" s="176"/>
      <c r="G674" s="201" t="s">
        <v>459</v>
      </c>
      <c r="H674" s="277">
        <f>H663+H666+H669+H672</f>
        <v>0</v>
      </c>
      <c r="I674" s="172"/>
    </row>
    <row r="675" spans="1:9" s="173" customFormat="1" ht="15">
      <c r="A675" s="174"/>
      <c r="B675" s="175"/>
      <c r="C675" s="175"/>
      <c r="D675" s="176"/>
      <c r="E675" s="176"/>
      <c r="F675" s="176"/>
      <c r="G675" s="201"/>
      <c r="H675" s="277"/>
      <c r="I675" s="172"/>
    </row>
    <row r="676" spans="1:9" s="1" customFormat="1" ht="15">
      <c r="A676" s="289" t="s">
        <v>132</v>
      </c>
      <c r="B676" s="267"/>
      <c r="C676" s="267"/>
      <c r="D676" s="268"/>
      <c r="E676" s="268"/>
      <c r="F676" s="268"/>
      <c r="G676" s="268"/>
      <c r="H676" s="269"/>
      <c r="I676" s="179"/>
    </row>
    <row r="677" spans="1:10" s="247" customFormat="1" ht="15" hidden="1" outlineLevel="1">
      <c r="A677" s="234">
        <v>42346</v>
      </c>
      <c r="B677" s="205" t="s">
        <v>260</v>
      </c>
      <c r="C677" s="205" t="s">
        <v>72</v>
      </c>
      <c r="D677" s="202" t="s">
        <v>802</v>
      </c>
      <c r="E677" s="202"/>
      <c r="F677" s="202"/>
      <c r="G677" s="222"/>
      <c r="H677" s="206">
        <v>0</v>
      </c>
      <c r="I677" s="210"/>
      <c r="J677" s="199" t="s">
        <v>155</v>
      </c>
    </row>
    <row r="678" spans="1:9" s="247" customFormat="1" ht="15" hidden="1" outlineLevel="1">
      <c r="A678" s="231"/>
      <c r="B678" s="204"/>
      <c r="C678" s="204"/>
      <c r="D678" s="203"/>
      <c r="E678" s="203"/>
      <c r="F678" s="203"/>
      <c r="G678" s="207" t="s">
        <v>803</v>
      </c>
      <c r="H678" s="208">
        <f>SUM(H677)</f>
        <v>0</v>
      </c>
      <c r="I678" s="210"/>
    </row>
    <row r="679" spans="1:9" ht="15" hidden="1" outlineLevel="1">
      <c r="A679" s="249"/>
      <c r="B679" s="244"/>
      <c r="C679" s="244"/>
      <c r="D679" s="236"/>
      <c r="E679" s="236"/>
      <c r="F679" s="236"/>
      <c r="G679" s="236"/>
      <c r="H679" s="224"/>
      <c r="I679" s="233"/>
    </row>
    <row r="680" spans="1:10" s="2" customFormat="1" ht="15" collapsed="1">
      <c r="A680" s="182">
        <v>42736</v>
      </c>
      <c r="B680" s="183" t="s">
        <v>260</v>
      </c>
      <c r="C680" s="183" t="s">
        <v>182</v>
      </c>
      <c r="D680" s="184" t="s">
        <v>261</v>
      </c>
      <c r="E680" s="184"/>
      <c r="F680" s="184"/>
      <c r="G680" s="184"/>
      <c r="H680" s="186">
        <v>-32417</v>
      </c>
      <c r="I680" s="187"/>
      <c r="J680" s="2" t="s">
        <v>192</v>
      </c>
    </row>
    <row r="681" spans="1:9" s="2" customFormat="1" ht="15">
      <c r="A681" s="188"/>
      <c r="B681" s="189"/>
      <c r="C681" s="189"/>
      <c r="D681" s="190"/>
      <c r="E681" s="190"/>
      <c r="F681" s="190"/>
      <c r="G681" s="195" t="s">
        <v>262</v>
      </c>
      <c r="H681" s="191">
        <f>SUM(H680)</f>
        <v>-32417</v>
      </c>
      <c r="I681" s="187"/>
    </row>
    <row r="682" spans="1:9" s="199" customFormat="1" ht="15" hidden="1" outlineLevel="1">
      <c r="A682" s="217"/>
      <c r="B682" s="240"/>
      <c r="C682" s="240"/>
      <c r="D682" s="226"/>
      <c r="E682" s="226"/>
      <c r="F682" s="226"/>
      <c r="G682" s="242"/>
      <c r="H682" s="237"/>
      <c r="I682" s="230"/>
    </row>
    <row r="683" spans="1:10" s="199" customFormat="1" ht="15" hidden="1" outlineLevel="1">
      <c r="A683" s="212">
        <v>42370</v>
      </c>
      <c r="B683" s="213" t="s">
        <v>260</v>
      </c>
      <c r="C683" s="213" t="s">
        <v>761</v>
      </c>
      <c r="D683" s="215" t="s">
        <v>1021</v>
      </c>
      <c r="E683" s="215"/>
      <c r="F683" s="215"/>
      <c r="G683" s="215"/>
      <c r="H683" s="239">
        <v>0</v>
      </c>
      <c r="I683" s="230"/>
      <c r="J683" s="199" t="s">
        <v>192</v>
      </c>
    </row>
    <row r="684" spans="1:9" s="199" customFormat="1" ht="15" hidden="1" outlineLevel="1">
      <c r="A684" s="217"/>
      <c r="B684" s="240"/>
      <c r="C684" s="240"/>
      <c r="D684" s="226"/>
      <c r="E684" s="226"/>
      <c r="F684" s="226"/>
      <c r="G684" s="242" t="s">
        <v>1134</v>
      </c>
      <c r="H684" s="237">
        <f>SUM(H683)</f>
        <v>0</v>
      </c>
      <c r="I684" s="230"/>
    </row>
    <row r="685" spans="1:9" s="2" customFormat="1" ht="15" collapsed="1">
      <c r="A685" s="188"/>
      <c r="B685" s="189"/>
      <c r="C685" s="189"/>
      <c r="D685" s="190"/>
      <c r="E685" s="190"/>
      <c r="F685" s="190"/>
      <c r="G685" s="195"/>
      <c r="H685" s="191"/>
      <c r="I685" s="187"/>
    </row>
    <row r="686" spans="1:9" s="2" customFormat="1" ht="15">
      <c r="A686" s="188"/>
      <c r="B686" s="189"/>
      <c r="C686" s="189"/>
      <c r="D686" s="190"/>
      <c r="E686" s="190"/>
      <c r="F686" s="190"/>
      <c r="G686" s="195" t="s">
        <v>881</v>
      </c>
      <c r="H686" s="191">
        <f>H678+H681+H684</f>
        <v>-32417</v>
      </c>
      <c r="I686" s="187"/>
    </row>
    <row r="687" spans="1:9" s="199" customFormat="1" ht="15" hidden="1" outlineLevel="1">
      <c r="A687" s="217"/>
      <c r="B687" s="240"/>
      <c r="C687" s="240"/>
      <c r="D687" s="226"/>
      <c r="E687" s="226"/>
      <c r="F687" s="226"/>
      <c r="G687" s="242"/>
      <c r="H687" s="237"/>
      <c r="I687" s="230"/>
    </row>
    <row r="688" spans="1:10" s="247" customFormat="1" ht="15" hidden="1" outlineLevel="1">
      <c r="A688" s="234">
        <v>42278</v>
      </c>
      <c r="B688" s="205" t="s">
        <v>889</v>
      </c>
      <c r="C688" s="205" t="s">
        <v>489</v>
      </c>
      <c r="D688" s="202" t="s">
        <v>890</v>
      </c>
      <c r="E688" s="202"/>
      <c r="F688" s="202"/>
      <c r="G688" s="222"/>
      <c r="H688" s="206">
        <v>0</v>
      </c>
      <c r="I688" s="210" t="s">
        <v>892</v>
      </c>
      <c r="J688" s="199" t="s">
        <v>750</v>
      </c>
    </row>
    <row r="689" spans="1:9" s="247" customFormat="1" ht="15" hidden="1" outlineLevel="1">
      <c r="A689" s="231"/>
      <c r="B689" s="204"/>
      <c r="C689" s="204"/>
      <c r="D689" s="203"/>
      <c r="E689" s="203"/>
      <c r="F689" s="203"/>
      <c r="G689" s="207" t="s">
        <v>891</v>
      </c>
      <c r="H689" s="208">
        <f>SUM(H688)</f>
        <v>0</v>
      </c>
      <c r="I689" s="210"/>
    </row>
    <row r="690" spans="1:9" s="247" customFormat="1" ht="15" hidden="1" outlineLevel="1">
      <c r="A690" s="231"/>
      <c r="B690" s="204"/>
      <c r="C690" s="204"/>
      <c r="D690" s="203"/>
      <c r="E690" s="203"/>
      <c r="F690" s="203"/>
      <c r="G690" s="207"/>
      <c r="H690" s="208"/>
      <c r="I690" s="210"/>
    </row>
    <row r="691" spans="1:10" s="247" customFormat="1" ht="15" hidden="1" outlineLevel="1">
      <c r="A691" s="234">
        <v>42278</v>
      </c>
      <c r="B691" s="205" t="s">
        <v>82</v>
      </c>
      <c r="C691" s="205" t="s">
        <v>489</v>
      </c>
      <c r="D691" s="202" t="s">
        <v>893</v>
      </c>
      <c r="E691" s="202"/>
      <c r="F691" s="202"/>
      <c r="G691" s="222"/>
      <c r="H691" s="206">
        <v>0</v>
      </c>
      <c r="I691" s="210" t="s">
        <v>895</v>
      </c>
      <c r="J691" s="199" t="s">
        <v>750</v>
      </c>
    </row>
    <row r="692" spans="1:9" s="247" customFormat="1" ht="15" hidden="1" outlineLevel="1">
      <c r="A692" s="231"/>
      <c r="B692" s="204"/>
      <c r="C692" s="204"/>
      <c r="D692" s="203"/>
      <c r="E692" s="203"/>
      <c r="F692" s="203"/>
      <c r="G692" s="207" t="s">
        <v>894</v>
      </c>
      <c r="H692" s="208">
        <f>SUM(H691)</f>
        <v>0</v>
      </c>
      <c r="I692" s="210"/>
    </row>
    <row r="693" spans="1:9" s="199" customFormat="1" ht="15" hidden="1" outlineLevel="1">
      <c r="A693" s="217"/>
      <c r="B693" s="240"/>
      <c r="C693" s="240"/>
      <c r="D693" s="226"/>
      <c r="E693" s="226"/>
      <c r="F693" s="226"/>
      <c r="G693" s="226"/>
      <c r="H693" s="237"/>
      <c r="I693" s="230"/>
    </row>
    <row r="694" spans="1:10" s="247" customFormat="1" ht="15" hidden="1" outlineLevel="1">
      <c r="A694" s="234">
        <v>42397</v>
      </c>
      <c r="B694" s="205" t="s">
        <v>82</v>
      </c>
      <c r="C694" s="205" t="s">
        <v>83</v>
      </c>
      <c r="D694" s="202" t="s">
        <v>84</v>
      </c>
      <c r="E694" s="202"/>
      <c r="F694" s="202"/>
      <c r="G694" s="202"/>
      <c r="H694" s="206">
        <v>0</v>
      </c>
      <c r="I694" s="210"/>
      <c r="J694" s="247" t="s">
        <v>969</v>
      </c>
    </row>
    <row r="695" spans="1:9" s="247" customFormat="1" ht="15" hidden="1" outlineLevel="1">
      <c r="A695" s="231"/>
      <c r="B695" s="204"/>
      <c r="C695" s="204"/>
      <c r="D695" s="203"/>
      <c r="E695" s="203"/>
      <c r="F695" s="203"/>
      <c r="G695" s="207" t="s">
        <v>131</v>
      </c>
      <c r="H695" s="208">
        <f>SUM(H694)</f>
        <v>0</v>
      </c>
      <c r="I695" s="210"/>
    </row>
    <row r="696" spans="1:9" s="247" customFormat="1" ht="15" hidden="1" outlineLevel="1">
      <c r="A696" s="231"/>
      <c r="B696" s="204"/>
      <c r="C696" s="204"/>
      <c r="D696" s="203"/>
      <c r="E696" s="203"/>
      <c r="F696" s="203"/>
      <c r="G696" s="207"/>
      <c r="H696" s="208"/>
      <c r="I696" s="210"/>
    </row>
    <row r="697" spans="1:9" s="247" customFormat="1" ht="15" hidden="1" outlineLevel="1">
      <c r="A697" s="231"/>
      <c r="B697" s="204"/>
      <c r="C697" s="204"/>
      <c r="D697" s="203"/>
      <c r="E697" s="203"/>
      <c r="F697" s="203"/>
      <c r="G697" s="242" t="s">
        <v>896</v>
      </c>
      <c r="H697" s="209">
        <f>H692+H695</f>
        <v>0</v>
      </c>
      <c r="I697" s="210"/>
    </row>
    <row r="698" spans="1:9" s="173" customFormat="1" ht="15" collapsed="1">
      <c r="A698" s="174"/>
      <c r="B698" s="175"/>
      <c r="C698" s="175"/>
      <c r="D698" s="176"/>
      <c r="E698" s="176"/>
      <c r="F698" s="176"/>
      <c r="G698" s="195"/>
      <c r="H698" s="277"/>
      <c r="I698" s="172"/>
    </row>
    <row r="699" spans="1:10" s="247" customFormat="1" ht="15" hidden="1" outlineLevel="1">
      <c r="A699" s="231">
        <v>42851</v>
      </c>
      <c r="B699" s="204" t="s">
        <v>1051</v>
      </c>
      <c r="C699" s="204" t="s">
        <v>1052</v>
      </c>
      <c r="D699" s="203" t="s">
        <v>1053</v>
      </c>
      <c r="E699" s="203"/>
      <c r="F699" s="203"/>
      <c r="G699" s="203"/>
      <c r="H699" s="208">
        <v>0</v>
      </c>
      <c r="I699" s="210"/>
      <c r="J699" s="199" t="s">
        <v>192</v>
      </c>
    </row>
    <row r="700" spans="1:10" s="173" customFormat="1" ht="15" collapsed="1">
      <c r="A700" s="168">
        <v>42736</v>
      </c>
      <c r="B700" s="169" t="s">
        <v>1051</v>
      </c>
      <c r="C700" s="169" t="s">
        <v>1162</v>
      </c>
      <c r="D700" s="170" t="s">
        <v>1647</v>
      </c>
      <c r="E700" s="170"/>
      <c r="F700" s="170"/>
      <c r="G700" s="170"/>
      <c r="H700" s="171">
        <v>-163000</v>
      </c>
      <c r="I700" s="172" t="s">
        <v>1</v>
      </c>
      <c r="J700" s="2" t="s">
        <v>192</v>
      </c>
    </row>
    <row r="701" spans="1:9" s="173" customFormat="1" ht="15">
      <c r="A701" s="174"/>
      <c r="B701" s="175"/>
      <c r="C701" s="175"/>
      <c r="D701" s="176"/>
      <c r="E701" s="176"/>
      <c r="F701" s="176"/>
      <c r="G701" s="201" t="s">
        <v>1054</v>
      </c>
      <c r="H701" s="177">
        <f>SUM(H699:H700)</f>
        <v>-163000</v>
      </c>
      <c r="I701" s="172"/>
    </row>
    <row r="702" spans="1:9" s="247" customFormat="1" ht="15" hidden="1" outlineLevel="1">
      <c r="A702" s="231"/>
      <c r="B702" s="204"/>
      <c r="C702" s="204"/>
      <c r="D702" s="203"/>
      <c r="E702" s="203"/>
      <c r="F702" s="203"/>
      <c r="G702" s="207"/>
      <c r="H702" s="208"/>
      <c r="I702" s="210"/>
    </row>
    <row r="703" spans="1:10" s="247" customFormat="1" ht="15" hidden="1" outlineLevel="1">
      <c r="A703" s="234">
        <v>42851</v>
      </c>
      <c r="B703" s="205" t="s">
        <v>1051</v>
      </c>
      <c r="C703" s="205" t="s">
        <v>1541</v>
      </c>
      <c r="D703" s="202" t="s">
        <v>1542</v>
      </c>
      <c r="E703" s="202"/>
      <c r="F703" s="202"/>
      <c r="G703" s="202"/>
      <c r="H703" s="206">
        <v>0</v>
      </c>
      <c r="I703" s="210" t="s">
        <v>1</v>
      </c>
      <c r="J703" s="199" t="s">
        <v>1543</v>
      </c>
    </row>
    <row r="704" spans="1:9" s="247" customFormat="1" ht="15" hidden="1" outlineLevel="1">
      <c r="A704" s="231"/>
      <c r="B704" s="204"/>
      <c r="C704" s="204"/>
      <c r="D704" s="203"/>
      <c r="E704" s="203"/>
      <c r="F704" s="203"/>
      <c r="G704" s="207" t="s">
        <v>1540</v>
      </c>
      <c r="H704" s="208">
        <f>SUM(H703:H703)</f>
        <v>0</v>
      </c>
      <c r="I704" s="210"/>
    </row>
    <row r="705" spans="1:9" s="173" customFormat="1" ht="15" collapsed="1">
      <c r="A705" s="174"/>
      <c r="B705" s="175"/>
      <c r="C705" s="175"/>
      <c r="D705" s="176"/>
      <c r="E705" s="176"/>
      <c r="F705" s="176"/>
      <c r="G705" s="201"/>
      <c r="H705" s="177"/>
      <c r="I705" s="172"/>
    </row>
    <row r="706" spans="1:9" s="173" customFormat="1" ht="15">
      <c r="A706" s="174"/>
      <c r="B706" s="175"/>
      <c r="C706" s="175"/>
      <c r="D706" s="176"/>
      <c r="E706" s="176"/>
      <c r="F706" s="176"/>
      <c r="G706" s="201" t="s">
        <v>1544</v>
      </c>
      <c r="H706" s="177">
        <f>H701+H704</f>
        <v>-163000</v>
      </c>
      <c r="I706" s="172"/>
    </row>
    <row r="707" spans="1:9" s="247" customFormat="1" ht="15" hidden="1" outlineLevel="1">
      <c r="A707" s="231"/>
      <c r="B707" s="204"/>
      <c r="C707" s="204"/>
      <c r="D707" s="203"/>
      <c r="E707" s="203"/>
      <c r="F707" s="203"/>
      <c r="G707" s="207"/>
      <c r="H707" s="208"/>
      <c r="I707" s="210"/>
    </row>
    <row r="708" spans="1:10" s="247" customFormat="1" ht="15" hidden="1" outlineLevel="1">
      <c r="A708" s="234">
        <v>42152</v>
      </c>
      <c r="B708" s="205" t="s">
        <v>488</v>
      </c>
      <c r="C708" s="205" t="s">
        <v>489</v>
      </c>
      <c r="D708" s="202" t="s">
        <v>490</v>
      </c>
      <c r="E708" s="202"/>
      <c r="F708" s="202"/>
      <c r="G708" s="202"/>
      <c r="H708" s="206">
        <v>0</v>
      </c>
      <c r="I708" s="210"/>
      <c r="J708" s="247" t="s">
        <v>73</v>
      </c>
    </row>
    <row r="709" spans="1:9" s="247" customFormat="1" ht="15" hidden="1" outlineLevel="1">
      <c r="A709" s="231"/>
      <c r="B709" s="204"/>
      <c r="C709" s="204"/>
      <c r="D709" s="203"/>
      <c r="E709" s="203"/>
      <c r="F709" s="203"/>
      <c r="G709" s="207" t="s">
        <v>897</v>
      </c>
      <c r="H709" s="208">
        <f>SUM(H708)</f>
        <v>0</v>
      </c>
      <c r="I709" s="210"/>
    </row>
    <row r="710" spans="1:9" s="247" customFormat="1" ht="15" hidden="1" outlineLevel="1">
      <c r="A710" s="231"/>
      <c r="B710" s="204"/>
      <c r="C710" s="204"/>
      <c r="D710" s="203"/>
      <c r="E710" s="203"/>
      <c r="F710" s="203"/>
      <c r="G710" s="207"/>
      <c r="H710" s="208"/>
      <c r="I710" s="210"/>
    </row>
    <row r="711" spans="1:10" s="247" customFormat="1" ht="15" hidden="1" outlineLevel="1">
      <c r="A711" s="231">
        <v>42488</v>
      </c>
      <c r="B711" s="204" t="s">
        <v>488</v>
      </c>
      <c r="C711" s="204" t="s">
        <v>821</v>
      </c>
      <c r="D711" s="203" t="s">
        <v>1001</v>
      </c>
      <c r="E711" s="203"/>
      <c r="F711" s="203"/>
      <c r="G711" s="207"/>
      <c r="H711" s="208">
        <v>0</v>
      </c>
      <c r="I711" s="210" t="s">
        <v>1002</v>
      </c>
      <c r="J711" s="247" t="s">
        <v>104</v>
      </c>
    </row>
    <row r="712" spans="1:10" s="247" customFormat="1" ht="15" hidden="1" outlineLevel="1">
      <c r="A712" s="231">
        <v>42370</v>
      </c>
      <c r="B712" s="204" t="s">
        <v>488</v>
      </c>
      <c r="C712" s="204" t="s">
        <v>1052</v>
      </c>
      <c r="D712" s="203" t="s">
        <v>1055</v>
      </c>
      <c r="E712" s="203"/>
      <c r="F712" s="203"/>
      <c r="G712" s="207"/>
      <c r="H712" s="208">
        <v>0</v>
      </c>
      <c r="I712" s="210"/>
      <c r="J712" s="199" t="s">
        <v>192</v>
      </c>
    </row>
    <row r="713" spans="1:10" s="247" customFormat="1" ht="15" hidden="1" outlineLevel="1">
      <c r="A713" s="234">
        <v>42005</v>
      </c>
      <c r="B713" s="205" t="s">
        <v>488</v>
      </c>
      <c r="C713" s="205" t="s">
        <v>87</v>
      </c>
      <c r="D713" s="202" t="s">
        <v>928</v>
      </c>
      <c r="E713" s="202"/>
      <c r="F713" s="202"/>
      <c r="G713" s="222"/>
      <c r="H713" s="206">
        <v>0</v>
      </c>
      <c r="I713" s="210" t="s">
        <v>930</v>
      </c>
      <c r="J713" s="199" t="s">
        <v>750</v>
      </c>
    </row>
    <row r="714" spans="1:9" s="247" customFormat="1" ht="15" hidden="1" outlineLevel="1">
      <c r="A714" s="231"/>
      <c r="B714" s="204"/>
      <c r="C714" s="204"/>
      <c r="D714" s="203"/>
      <c r="E714" s="203"/>
      <c r="F714" s="203"/>
      <c r="G714" s="207" t="s">
        <v>929</v>
      </c>
      <c r="H714" s="208">
        <f>SUM(H711:H713)</f>
        <v>0</v>
      </c>
      <c r="I714" s="210"/>
    </row>
    <row r="715" spans="1:9" s="247" customFormat="1" ht="15" hidden="1" outlineLevel="1">
      <c r="A715" s="231"/>
      <c r="B715" s="204"/>
      <c r="C715" s="204"/>
      <c r="D715" s="203"/>
      <c r="E715" s="203"/>
      <c r="F715" s="203"/>
      <c r="G715" s="207"/>
      <c r="H715" s="208"/>
      <c r="I715" s="210"/>
    </row>
    <row r="716" spans="1:9" s="247" customFormat="1" ht="15" hidden="1" outlineLevel="1">
      <c r="A716" s="231"/>
      <c r="B716" s="204"/>
      <c r="C716" s="204"/>
      <c r="D716" s="203"/>
      <c r="E716" s="203"/>
      <c r="F716" s="203"/>
      <c r="G716" s="207" t="s">
        <v>931</v>
      </c>
      <c r="H716" s="208">
        <f>H709+H714</f>
        <v>0</v>
      </c>
      <c r="I716" s="210"/>
    </row>
    <row r="717" spans="1:9" s="247" customFormat="1" ht="15" hidden="1" outlineLevel="1">
      <c r="A717" s="231"/>
      <c r="B717" s="204"/>
      <c r="C717" s="204"/>
      <c r="D717" s="203"/>
      <c r="E717" s="203"/>
      <c r="F717" s="203"/>
      <c r="G717" s="207"/>
      <c r="H717" s="208"/>
      <c r="I717" s="210"/>
    </row>
    <row r="718" spans="1:10" s="247" customFormat="1" ht="15" hidden="1" outlineLevel="1" collapsed="1">
      <c r="A718" s="234">
        <v>42370</v>
      </c>
      <c r="B718" s="205" t="s">
        <v>1182</v>
      </c>
      <c r="C718" s="205" t="s">
        <v>1173</v>
      </c>
      <c r="D718" s="202" t="s">
        <v>1175</v>
      </c>
      <c r="E718" s="202"/>
      <c r="F718" s="202"/>
      <c r="G718" s="222"/>
      <c r="H718" s="206">
        <v>0</v>
      </c>
      <c r="I718" s="210"/>
      <c r="J718" s="200" t="s">
        <v>760</v>
      </c>
    </row>
    <row r="719" spans="1:9" s="247" customFormat="1" ht="15" hidden="1" outlineLevel="1">
      <c r="A719" s="231"/>
      <c r="B719" s="204"/>
      <c r="C719" s="204"/>
      <c r="D719" s="203"/>
      <c r="E719" s="203"/>
      <c r="F719" s="203"/>
      <c r="G719" s="207" t="s">
        <v>716</v>
      </c>
      <c r="H719" s="208">
        <f>SUM(H718)</f>
        <v>0</v>
      </c>
      <c r="I719" s="210"/>
    </row>
    <row r="720" spans="1:9" s="247" customFormat="1" ht="15" hidden="1" outlineLevel="1">
      <c r="A720" s="231"/>
      <c r="B720" s="204"/>
      <c r="C720" s="204"/>
      <c r="D720" s="203"/>
      <c r="E720" s="203"/>
      <c r="F720" s="203"/>
      <c r="G720" s="207"/>
      <c r="H720" s="208"/>
      <c r="I720" s="210"/>
    </row>
    <row r="721" spans="1:10" s="199" customFormat="1" ht="15" hidden="1" outlineLevel="1">
      <c r="A721" s="217">
        <v>42886</v>
      </c>
      <c r="B721" s="218"/>
      <c r="C721" s="221"/>
      <c r="D721" s="216" t="s">
        <v>1183</v>
      </c>
      <c r="E721" s="216"/>
      <c r="F721" s="216"/>
      <c r="G721" s="207"/>
      <c r="H721" s="208">
        <v>0</v>
      </c>
      <c r="I721" s="216"/>
      <c r="J721" s="199" t="s">
        <v>1184</v>
      </c>
    </row>
    <row r="722" spans="1:9" s="199" customFormat="1" ht="15" hidden="1" outlineLevel="1">
      <c r="A722" s="217"/>
      <c r="B722" s="218"/>
      <c r="C722" s="221"/>
      <c r="D722" s="216"/>
      <c r="E722" s="216"/>
      <c r="F722" s="216"/>
      <c r="G722" s="207"/>
      <c r="H722" s="208"/>
      <c r="I722" s="216"/>
    </row>
    <row r="723" spans="1:10" s="199" customFormat="1" ht="15" hidden="1" outlineLevel="1">
      <c r="A723" s="217">
        <v>42370</v>
      </c>
      <c r="B723" s="218"/>
      <c r="C723" s="221"/>
      <c r="D723" s="216" t="s">
        <v>1185</v>
      </c>
      <c r="E723" s="216"/>
      <c r="F723" s="216"/>
      <c r="G723" s="207"/>
      <c r="H723" s="208">
        <v>0</v>
      </c>
      <c r="I723" s="216"/>
      <c r="J723" s="199" t="s">
        <v>145</v>
      </c>
    </row>
    <row r="724" spans="1:9" s="173" customFormat="1" ht="15" collapsed="1">
      <c r="A724" s="174"/>
      <c r="B724" s="175"/>
      <c r="C724" s="175"/>
      <c r="D724" s="176"/>
      <c r="E724" s="176"/>
      <c r="F724" s="176"/>
      <c r="G724" s="201"/>
      <c r="H724" s="177"/>
      <c r="I724" s="172"/>
    </row>
    <row r="725" spans="1:9" s="173" customFormat="1" ht="15">
      <c r="A725" s="174"/>
      <c r="B725" s="175"/>
      <c r="C725" s="175"/>
      <c r="D725" s="176"/>
      <c r="E725" s="176"/>
      <c r="F725" s="176"/>
      <c r="G725" s="201" t="s">
        <v>132</v>
      </c>
      <c r="H725" s="277">
        <f>H686+H689+H697+H706+H716+H719</f>
        <v>-195417</v>
      </c>
      <c r="I725" s="172"/>
    </row>
    <row r="726" spans="1:9" s="173" customFormat="1" ht="15">
      <c r="A726" s="174"/>
      <c r="B726" s="175"/>
      <c r="C726" s="175"/>
      <c r="D726" s="176"/>
      <c r="E726" s="176"/>
      <c r="F726" s="176"/>
      <c r="G726" s="201" t="s">
        <v>132</v>
      </c>
      <c r="H726" s="277">
        <f>H725+H721+H723</f>
        <v>-195417</v>
      </c>
      <c r="I726" s="172"/>
    </row>
    <row r="727" spans="1:9" s="173" customFormat="1" ht="15">
      <c r="A727" s="174"/>
      <c r="B727" s="175"/>
      <c r="C727" s="175"/>
      <c r="D727" s="176"/>
      <c r="E727" s="176"/>
      <c r="F727" s="176"/>
      <c r="G727" s="201"/>
      <c r="H727" s="277"/>
      <c r="I727" s="172"/>
    </row>
    <row r="728" spans="1:9" s="1" customFormat="1" ht="15">
      <c r="A728" s="289" t="s">
        <v>245</v>
      </c>
      <c r="B728" s="267"/>
      <c r="C728" s="267"/>
      <c r="D728" s="268"/>
      <c r="E728" s="268"/>
      <c r="F728" s="268"/>
      <c r="G728" s="268"/>
      <c r="H728" s="269"/>
      <c r="I728" s="179"/>
    </row>
    <row r="729" spans="1:14" s="173" customFormat="1" ht="15">
      <c r="A729" s="168">
        <v>42736</v>
      </c>
      <c r="B729" s="169" t="s">
        <v>246</v>
      </c>
      <c r="C729" s="169" t="s">
        <v>182</v>
      </c>
      <c r="D729" s="170" t="s">
        <v>247</v>
      </c>
      <c r="E729" s="170"/>
      <c r="F729" s="170"/>
      <c r="G729" s="170"/>
      <c r="H729" s="171">
        <v>678121</v>
      </c>
      <c r="I729" s="172"/>
      <c r="J729" s="2" t="s">
        <v>192</v>
      </c>
      <c r="N729" s="280"/>
    </row>
    <row r="730" spans="1:9" s="173" customFormat="1" ht="15">
      <c r="A730" s="174"/>
      <c r="B730" s="175"/>
      <c r="C730" s="175"/>
      <c r="D730" s="176"/>
      <c r="E730" s="176"/>
      <c r="F730" s="176"/>
      <c r="G730" s="201" t="s">
        <v>247</v>
      </c>
      <c r="H730" s="177">
        <f>SUM(H729)</f>
        <v>678121</v>
      </c>
      <c r="I730" s="172"/>
    </row>
    <row r="731" spans="1:9" s="173" customFormat="1" ht="15" hidden="1" outlineLevel="1">
      <c r="A731" s="174"/>
      <c r="B731" s="175"/>
      <c r="C731" s="175"/>
      <c r="D731" s="176"/>
      <c r="E731" s="176"/>
      <c r="F731" s="176"/>
      <c r="G731" s="201"/>
      <c r="H731" s="177"/>
      <c r="I731" s="172"/>
    </row>
    <row r="732" spans="1:10" s="247" customFormat="1" ht="15" hidden="1" outlineLevel="1">
      <c r="A732" s="231">
        <v>42488</v>
      </c>
      <c r="B732" s="204" t="s">
        <v>246</v>
      </c>
      <c r="C732" s="204" t="s">
        <v>899</v>
      </c>
      <c r="D732" s="203" t="s">
        <v>940</v>
      </c>
      <c r="E732" s="203"/>
      <c r="F732" s="203"/>
      <c r="G732" s="207"/>
      <c r="H732" s="208">
        <v>0</v>
      </c>
      <c r="I732" s="210" t="s">
        <v>5</v>
      </c>
      <c r="J732" s="199" t="s">
        <v>104</v>
      </c>
    </row>
    <row r="733" spans="1:10" s="247" customFormat="1" ht="15" hidden="1" outlineLevel="1">
      <c r="A733" s="234">
        <v>42488</v>
      </c>
      <c r="B733" s="205" t="s">
        <v>246</v>
      </c>
      <c r="C733" s="205" t="s">
        <v>491</v>
      </c>
      <c r="D733" s="202" t="s">
        <v>994</v>
      </c>
      <c r="E733" s="202"/>
      <c r="F733" s="202"/>
      <c r="G733" s="222"/>
      <c r="H733" s="206">
        <v>0</v>
      </c>
      <c r="I733" s="210" t="s">
        <v>995</v>
      </c>
      <c r="J733" s="199" t="s">
        <v>104</v>
      </c>
    </row>
    <row r="734" spans="1:9" s="247" customFormat="1" ht="15" hidden="1" outlineLevel="1">
      <c r="A734" s="231"/>
      <c r="B734" s="204"/>
      <c r="C734" s="204"/>
      <c r="D734" s="203"/>
      <c r="E734" s="203"/>
      <c r="F734" s="203"/>
      <c r="G734" s="207" t="s">
        <v>941</v>
      </c>
      <c r="H734" s="208">
        <f>SUM(H732:H733)</f>
        <v>0</v>
      </c>
      <c r="I734" s="210"/>
    </row>
    <row r="735" spans="1:9" s="247" customFormat="1" ht="15" hidden="1" outlineLevel="1">
      <c r="A735" s="231"/>
      <c r="B735" s="204"/>
      <c r="C735" s="204"/>
      <c r="D735" s="203"/>
      <c r="E735" s="203"/>
      <c r="F735" s="203"/>
      <c r="G735" s="207"/>
      <c r="H735" s="208"/>
      <c r="I735" s="210"/>
    </row>
    <row r="736" spans="1:10" s="247" customFormat="1" ht="15" hidden="1" outlineLevel="1">
      <c r="A736" s="234">
        <v>42370</v>
      </c>
      <c r="B736" s="205" t="s">
        <v>246</v>
      </c>
      <c r="C736" s="205" t="s">
        <v>761</v>
      </c>
      <c r="D736" s="202" t="s">
        <v>1023</v>
      </c>
      <c r="E736" s="202"/>
      <c r="F736" s="202"/>
      <c r="G736" s="202"/>
      <c r="H736" s="206">
        <v>0</v>
      </c>
      <c r="I736" s="210"/>
      <c r="J736" s="200" t="s">
        <v>192</v>
      </c>
    </row>
    <row r="737" spans="1:9" s="247" customFormat="1" ht="15" hidden="1" outlineLevel="1">
      <c r="A737" s="231"/>
      <c r="B737" s="204"/>
      <c r="C737" s="204"/>
      <c r="D737" s="203"/>
      <c r="E737" s="203"/>
      <c r="F737" s="203"/>
      <c r="G737" s="207" t="s">
        <v>941</v>
      </c>
      <c r="H737" s="208">
        <f>SUM(H736)</f>
        <v>0</v>
      </c>
      <c r="I737" s="210"/>
    </row>
    <row r="738" spans="1:9" s="173" customFormat="1" ht="15" collapsed="1">
      <c r="A738" s="174"/>
      <c r="B738" s="175"/>
      <c r="C738" s="175"/>
      <c r="D738" s="176"/>
      <c r="E738" s="176"/>
      <c r="F738" s="176"/>
      <c r="G738" s="201"/>
      <c r="H738" s="177"/>
      <c r="I738" s="172"/>
    </row>
    <row r="739" spans="1:9" s="173" customFormat="1" ht="15">
      <c r="A739" s="174"/>
      <c r="B739" s="175"/>
      <c r="C739" s="175"/>
      <c r="D739" s="176"/>
      <c r="E739" s="176"/>
      <c r="F739" s="176"/>
      <c r="G739" s="201" t="s">
        <v>942</v>
      </c>
      <c r="H739" s="177">
        <f>H730+H734+H737</f>
        <v>678121</v>
      </c>
      <c r="I739" s="172"/>
    </row>
    <row r="740" spans="1:9" s="247" customFormat="1" ht="15" hidden="1" outlineLevel="1">
      <c r="A740" s="231"/>
      <c r="B740" s="204"/>
      <c r="C740" s="204"/>
      <c r="D740" s="203"/>
      <c r="E740" s="203"/>
      <c r="F740" s="203"/>
      <c r="G740" s="207"/>
      <c r="H740" s="208"/>
      <c r="I740" s="210"/>
    </row>
    <row r="741" spans="1:10" s="247" customFormat="1" ht="15" hidden="1" outlineLevel="1">
      <c r="A741" s="234">
        <v>42278</v>
      </c>
      <c r="B741" s="205" t="s">
        <v>943</v>
      </c>
      <c r="C741" s="205" t="s">
        <v>491</v>
      </c>
      <c r="D741" s="202" t="s">
        <v>944</v>
      </c>
      <c r="E741" s="202"/>
      <c r="F741" s="202"/>
      <c r="G741" s="222"/>
      <c r="H741" s="206">
        <v>0</v>
      </c>
      <c r="I741" s="210" t="s">
        <v>1</v>
      </c>
      <c r="J741" s="199" t="s">
        <v>750</v>
      </c>
    </row>
    <row r="742" spans="1:9" s="247" customFormat="1" ht="15" hidden="1" outlineLevel="1">
      <c r="A742" s="231"/>
      <c r="B742" s="204"/>
      <c r="C742" s="204"/>
      <c r="D742" s="203"/>
      <c r="E742" s="203"/>
      <c r="F742" s="203"/>
      <c r="G742" s="207" t="s">
        <v>999</v>
      </c>
      <c r="H742" s="208">
        <f>SUM(H741)</f>
        <v>0</v>
      </c>
      <c r="I742" s="210"/>
    </row>
    <row r="743" spans="1:9" s="247" customFormat="1" ht="15" hidden="1" outlineLevel="1">
      <c r="A743" s="231"/>
      <c r="B743" s="204"/>
      <c r="C743" s="204"/>
      <c r="D743" s="203"/>
      <c r="E743" s="203"/>
      <c r="F743" s="203"/>
      <c r="G743" s="207"/>
      <c r="H743" s="208"/>
      <c r="I743" s="210"/>
    </row>
    <row r="744" spans="1:10" s="247" customFormat="1" ht="15" hidden="1" outlineLevel="1">
      <c r="A744" s="234">
        <v>42488</v>
      </c>
      <c r="B744" s="205" t="s">
        <v>997</v>
      </c>
      <c r="C744" s="205" t="s">
        <v>899</v>
      </c>
      <c r="D744" s="202" t="s">
        <v>998</v>
      </c>
      <c r="E744" s="202"/>
      <c r="F744" s="202"/>
      <c r="G744" s="222"/>
      <c r="H744" s="206">
        <v>0</v>
      </c>
      <c r="I744" s="210" t="s">
        <v>996</v>
      </c>
      <c r="J744" s="199" t="s">
        <v>104</v>
      </c>
    </row>
    <row r="745" spans="1:9" s="247" customFormat="1" ht="15" hidden="1" outlineLevel="1">
      <c r="A745" s="231"/>
      <c r="B745" s="204"/>
      <c r="C745" s="204"/>
      <c r="D745" s="203"/>
      <c r="E745" s="203"/>
      <c r="F745" s="203"/>
      <c r="G745" s="207" t="s">
        <v>1000</v>
      </c>
      <c r="H745" s="208">
        <f>SUM(H744)</f>
        <v>0</v>
      </c>
      <c r="I745" s="210"/>
    </row>
    <row r="746" spans="1:9" s="173" customFormat="1" ht="15" collapsed="1">
      <c r="A746" s="174"/>
      <c r="B746" s="175"/>
      <c r="C746" s="175"/>
      <c r="D746" s="176"/>
      <c r="E746" s="176"/>
      <c r="F746" s="176"/>
      <c r="G746" s="201"/>
      <c r="H746" s="177"/>
      <c r="I746" s="172"/>
    </row>
    <row r="747" spans="1:10" s="173" customFormat="1" ht="15">
      <c r="A747" s="168">
        <v>42929</v>
      </c>
      <c r="B747" s="169" t="s">
        <v>1684</v>
      </c>
      <c r="C747" s="169" t="s">
        <v>1445</v>
      </c>
      <c r="D747" s="170" t="s">
        <v>1686</v>
      </c>
      <c r="E747" s="170"/>
      <c r="F747" s="170"/>
      <c r="G747" s="185"/>
      <c r="H747" s="171">
        <v>250000</v>
      </c>
      <c r="I747" s="172" t="s">
        <v>1</v>
      </c>
      <c r="J747" s="2" t="s">
        <v>749</v>
      </c>
    </row>
    <row r="748" spans="1:9" s="173" customFormat="1" ht="15">
      <c r="A748" s="174"/>
      <c r="B748" s="175"/>
      <c r="C748" s="175"/>
      <c r="D748" s="176"/>
      <c r="E748" s="176"/>
      <c r="F748" s="176"/>
      <c r="G748" s="201" t="s">
        <v>1685</v>
      </c>
      <c r="H748" s="177">
        <f>SUM(H747)</f>
        <v>250000</v>
      </c>
      <c r="I748" s="172"/>
    </row>
    <row r="749" spans="1:9" s="247" customFormat="1" ht="15" hidden="1" outlineLevel="1">
      <c r="A749" s="231"/>
      <c r="B749" s="204"/>
      <c r="C749" s="204"/>
      <c r="D749" s="203"/>
      <c r="E749" s="203"/>
      <c r="F749" s="203"/>
      <c r="G749" s="207"/>
      <c r="H749" s="208"/>
      <c r="I749" s="210"/>
    </row>
    <row r="750" spans="1:10" s="247" customFormat="1" ht="15" hidden="1" outlineLevel="1">
      <c r="A750" s="234">
        <v>42488</v>
      </c>
      <c r="B750" s="205" t="s">
        <v>932</v>
      </c>
      <c r="C750" s="205" t="s">
        <v>491</v>
      </c>
      <c r="D750" s="202" t="s">
        <v>1129</v>
      </c>
      <c r="E750" s="202"/>
      <c r="F750" s="202"/>
      <c r="G750" s="222"/>
      <c r="H750" s="206">
        <v>0</v>
      </c>
      <c r="I750" s="210" t="s">
        <v>1075</v>
      </c>
      <c r="J750" s="199" t="s">
        <v>104</v>
      </c>
    </row>
    <row r="751" spans="1:9" s="247" customFormat="1" ht="15" hidden="1" outlineLevel="1">
      <c r="A751" s="231"/>
      <c r="B751" s="204"/>
      <c r="C751" s="204"/>
      <c r="D751" s="203"/>
      <c r="E751" s="203"/>
      <c r="F751" s="203"/>
      <c r="G751" s="207" t="s">
        <v>933</v>
      </c>
      <c r="H751" s="208">
        <f>SUM(H750)</f>
        <v>0</v>
      </c>
      <c r="I751" s="210"/>
    </row>
    <row r="752" spans="1:9" s="247" customFormat="1" ht="15" hidden="1" outlineLevel="1">
      <c r="A752" s="231"/>
      <c r="B752" s="204"/>
      <c r="C752" s="204"/>
      <c r="D752" s="203"/>
      <c r="E752" s="203"/>
      <c r="F752" s="203"/>
      <c r="G752" s="207"/>
      <c r="H752" s="208"/>
      <c r="I752" s="210"/>
    </row>
    <row r="753" spans="1:10" s="247" customFormat="1" ht="15" hidden="1" outlineLevel="1">
      <c r="A753" s="212">
        <v>42370</v>
      </c>
      <c r="B753" s="213" t="s">
        <v>248</v>
      </c>
      <c r="C753" s="213" t="s">
        <v>182</v>
      </c>
      <c r="D753" s="215" t="s">
        <v>249</v>
      </c>
      <c r="E753" s="215"/>
      <c r="F753" s="215"/>
      <c r="G753" s="222"/>
      <c r="H753" s="239">
        <v>0</v>
      </c>
      <c r="I753" s="210"/>
      <c r="J753" s="200" t="s">
        <v>192</v>
      </c>
    </row>
    <row r="754" spans="1:10" s="247" customFormat="1" ht="15" hidden="1" outlineLevel="1">
      <c r="A754" s="231"/>
      <c r="B754" s="204"/>
      <c r="C754" s="204"/>
      <c r="D754" s="203"/>
      <c r="E754" s="203"/>
      <c r="F754" s="203"/>
      <c r="G754" s="207" t="s">
        <v>249</v>
      </c>
      <c r="H754" s="208">
        <f>SUM(H753)</f>
        <v>0</v>
      </c>
      <c r="I754" s="210"/>
      <c r="J754" s="200"/>
    </row>
    <row r="755" spans="1:10" s="173" customFormat="1" ht="15" collapsed="1">
      <c r="A755" s="174"/>
      <c r="B755" s="175"/>
      <c r="C755" s="175"/>
      <c r="D755" s="176"/>
      <c r="E755" s="176"/>
      <c r="F755" s="176"/>
      <c r="G755" s="201"/>
      <c r="H755" s="177"/>
      <c r="I755" s="172"/>
      <c r="J755" s="178"/>
    </row>
    <row r="756" spans="1:14" s="173" customFormat="1" ht="15">
      <c r="A756" s="168">
        <v>42736</v>
      </c>
      <c r="B756" s="169" t="s">
        <v>250</v>
      </c>
      <c r="C756" s="169" t="s">
        <v>182</v>
      </c>
      <c r="D756" s="170" t="s">
        <v>251</v>
      </c>
      <c r="E756" s="170"/>
      <c r="F756" s="170"/>
      <c r="G756" s="185"/>
      <c r="H756" s="171">
        <v>-58753</v>
      </c>
      <c r="I756" s="172"/>
      <c r="J756" s="178" t="s">
        <v>192</v>
      </c>
      <c r="N756" s="280"/>
    </row>
    <row r="757" spans="1:10" s="173" customFormat="1" ht="15">
      <c r="A757" s="174"/>
      <c r="B757" s="175"/>
      <c r="C757" s="175"/>
      <c r="D757" s="176"/>
      <c r="E757" s="176"/>
      <c r="F757" s="176"/>
      <c r="G757" s="201" t="s">
        <v>251</v>
      </c>
      <c r="H757" s="177">
        <f>SUM(H756)</f>
        <v>-58753</v>
      </c>
      <c r="I757" s="172"/>
      <c r="J757" s="178"/>
    </row>
    <row r="758" spans="1:9" s="173" customFormat="1" ht="15">
      <c r="A758" s="174"/>
      <c r="B758" s="175"/>
      <c r="C758" s="175"/>
      <c r="D758" s="176"/>
      <c r="E758" s="176"/>
      <c r="F758" s="176"/>
      <c r="G758" s="201"/>
      <c r="H758" s="177"/>
      <c r="I758" s="172"/>
    </row>
    <row r="759" spans="1:9" s="173" customFormat="1" ht="15">
      <c r="A759" s="174"/>
      <c r="B759" s="175"/>
      <c r="C759" s="175"/>
      <c r="D759" s="176"/>
      <c r="E759" s="176"/>
      <c r="F759" s="176"/>
      <c r="G759" s="201" t="s">
        <v>245</v>
      </c>
      <c r="H759" s="277">
        <f>H739+H742+H745+H748+H751+H754+H757</f>
        <v>869368</v>
      </c>
      <c r="I759" s="172"/>
    </row>
    <row r="760" spans="1:9" s="173" customFormat="1" ht="15">
      <c r="A760" s="174"/>
      <c r="B760" s="175"/>
      <c r="C760" s="175"/>
      <c r="D760" s="176"/>
      <c r="E760" s="176"/>
      <c r="F760" s="176"/>
      <c r="G760" s="201"/>
      <c r="H760" s="277"/>
      <c r="I760" s="172"/>
    </row>
    <row r="761" spans="1:9" s="1" customFormat="1" ht="15">
      <c r="A761" s="289" t="s">
        <v>254</v>
      </c>
      <c r="B761" s="267"/>
      <c r="C761" s="267"/>
      <c r="D761" s="268"/>
      <c r="E761" s="268"/>
      <c r="F761" s="268"/>
      <c r="G761" s="268"/>
      <c r="H761" s="269"/>
      <c r="I761" s="179"/>
    </row>
    <row r="762" spans="1:10" s="173" customFormat="1" ht="15" hidden="1" outlineLevel="1">
      <c r="A762" s="168">
        <v>42005</v>
      </c>
      <c r="B762" s="169" t="s">
        <v>252</v>
      </c>
      <c r="C762" s="169" t="s">
        <v>182</v>
      </c>
      <c r="D762" s="170" t="s">
        <v>253</v>
      </c>
      <c r="E762" s="170"/>
      <c r="F762" s="170"/>
      <c r="G762" s="170"/>
      <c r="H762" s="171">
        <v>0</v>
      </c>
      <c r="I762" s="172"/>
      <c r="J762" s="178" t="s">
        <v>192</v>
      </c>
    </row>
    <row r="763" spans="1:9" s="173" customFormat="1" ht="15" hidden="1" outlineLevel="1">
      <c r="A763" s="174"/>
      <c r="B763" s="175"/>
      <c r="C763" s="175"/>
      <c r="D763" s="176"/>
      <c r="E763" s="176"/>
      <c r="F763" s="176"/>
      <c r="G763" s="201" t="s">
        <v>253</v>
      </c>
      <c r="H763" s="177">
        <f>SUM(H762)</f>
        <v>0</v>
      </c>
      <c r="I763" s="172"/>
    </row>
    <row r="764" spans="1:9" s="173" customFormat="1" ht="15" hidden="1" outlineLevel="1">
      <c r="A764" s="174"/>
      <c r="B764" s="175"/>
      <c r="C764" s="175"/>
      <c r="D764" s="176"/>
      <c r="E764" s="176"/>
      <c r="F764" s="176"/>
      <c r="G764" s="201"/>
      <c r="H764" s="177"/>
      <c r="I764" s="172"/>
    </row>
    <row r="765" spans="1:10" s="173" customFormat="1" ht="15" hidden="1" outlineLevel="1">
      <c r="A765" s="168">
        <v>42346</v>
      </c>
      <c r="B765" s="169" t="s">
        <v>804</v>
      </c>
      <c r="C765" s="169" t="s">
        <v>72</v>
      </c>
      <c r="D765" s="170" t="s">
        <v>805</v>
      </c>
      <c r="E765" s="170"/>
      <c r="F765" s="170"/>
      <c r="G765" s="185"/>
      <c r="H765" s="171">
        <v>0</v>
      </c>
      <c r="I765" s="172"/>
      <c r="J765" s="2" t="s">
        <v>155</v>
      </c>
    </row>
    <row r="766" spans="1:9" s="173" customFormat="1" ht="15" hidden="1" outlineLevel="1">
      <c r="A766" s="174"/>
      <c r="B766" s="175"/>
      <c r="C766" s="175"/>
      <c r="D766" s="176"/>
      <c r="E766" s="176"/>
      <c r="F766" s="176"/>
      <c r="G766" s="201" t="s">
        <v>806</v>
      </c>
      <c r="H766" s="177">
        <f>SUM(H765)</f>
        <v>0</v>
      </c>
      <c r="I766" s="172"/>
    </row>
    <row r="767" spans="1:9" s="173" customFormat="1" ht="15" hidden="1" outlineLevel="1">
      <c r="A767" s="174"/>
      <c r="B767" s="175"/>
      <c r="C767" s="175"/>
      <c r="D767" s="176"/>
      <c r="E767" s="176"/>
      <c r="F767" s="176"/>
      <c r="G767" s="201"/>
      <c r="H767" s="177"/>
      <c r="I767" s="172"/>
    </row>
    <row r="768" spans="1:10" s="173" customFormat="1" ht="15" hidden="1" outlineLevel="1">
      <c r="A768" s="168">
        <v>42370</v>
      </c>
      <c r="B768" s="169" t="s">
        <v>804</v>
      </c>
      <c r="C768" s="169" t="s">
        <v>761</v>
      </c>
      <c r="D768" s="170" t="s">
        <v>1026</v>
      </c>
      <c r="E768" s="170"/>
      <c r="F768" s="170"/>
      <c r="G768" s="185"/>
      <c r="H768" s="171">
        <v>0</v>
      </c>
      <c r="I768" s="172"/>
      <c r="J768" s="178" t="s">
        <v>192</v>
      </c>
    </row>
    <row r="769" spans="1:9" s="173" customFormat="1" ht="15" hidden="1" outlineLevel="1">
      <c r="A769" s="174"/>
      <c r="B769" s="175"/>
      <c r="C769" s="175"/>
      <c r="D769" s="176"/>
      <c r="E769" s="176"/>
      <c r="F769" s="176"/>
      <c r="G769" s="201" t="s">
        <v>1135</v>
      </c>
      <c r="H769" s="177">
        <f>SUM(H768)</f>
        <v>0</v>
      </c>
      <c r="I769" s="172"/>
    </row>
    <row r="770" spans="1:9" s="173" customFormat="1" ht="15" hidden="1" outlineLevel="1">
      <c r="A770" s="174"/>
      <c r="B770" s="175"/>
      <c r="C770" s="175"/>
      <c r="D770" s="176"/>
      <c r="E770" s="176"/>
      <c r="F770" s="176"/>
      <c r="G770" s="201"/>
      <c r="H770" s="177"/>
      <c r="I770" s="172"/>
    </row>
    <row r="771" spans="1:10" s="173" customFormat="1" ht="15" hidden="1" outlineLevel="1">
      <c r="A771" s="168">
        <v>42488</v>
      </c>
      <c r="B771" s="169" t="s">
        <v>1071</v>
      </c>
      <c r="C771" s="169" t="s">
        <v>491</v>
      </c>
      <c r="D771" s="170" t="s">
        <v>1072</v>
      </c>
      <c r="E771" s="170"/>
      <c r="F771" s="170"/>
      <c r="G771" s="185"/>
      <c r="H771" s="171">
        <v>0</v>
      </c>
      <c r="I771" s="172" t="s">
        <v>1073</v>
      </c>
      <c r="J771" s="2" t="s">
        <v>104</v>
      </c>
    </row>
    <row r="772" spans="1:9" s="173" customFormat="1" ht="15" hidden="1" outlineLevel="1">
      <c r="A772" s="174"/>
      <c r="B772" s="175"/>
      <c r="C772" s="175"/>
      <c r="D772" s="176"/>
      <c r="E772" s="176"/>
      <c r="F772" s="176"/>
      <c r="G772" s="201" t="s">
        <v>1074</v>
      </c>
      <c r="H772" s="177">
        <f>SUM(H771)</f>
        <v>0</v>
      </c>
      <c r="I772" s="172"/>
    </row>
    <row r="773" spans="1:9" s="173" customFormat="1" ht="15" hidden="1" outlineLevel="1">
      <c r="A773" s="174"/>
      <c r="B773" s="175"/>
      <c r="C773" s="175"/>
      <c r="D773" s="176"/>
      <c r="E773" s="176"/>
      <c r="F773" s="176"/>
      <c r="G773" s="201"/>
      <c r="H773" s="177"/>
      <c r="I773" s="172"/>
    </row>
    <row r="774" spans="1:10" s="173" customFormat="1" ht="15" hidden="1" outlineLevel="1">
      <c r="A774" s="168">
        <v>42005</v>
      </c>
      <c r="B774" s="169" t="s">
        <v>905</v>
      </c>
      <c r="C774" s="169" t="s">
        <v>899</v>
      </c>
      <c r="D774" s="170" t="s">
        <v>906</v>
      </c>
      <c r="E774" s="170"/>
      <c r="F774" s="170"/>
      <c r="G774" s="185"/>
      <c r="H774" s="171">
        <v>0</v>
      </c>
      <c r="I774" s="172" t="s">
        <v>908</v>
      </c>
      <c r="J774" s="2" t="s">
        <v>750</v>
      </c>
    </row>
    <row r="775" spans="1:9" s="173" customFormat="1" ht="15" hidden="1" outlineLevel="1">
      <c r="A775" s="174"/>
      <c r="B775" s="175"/>
      <c r="C775" s="175"/>
      <c r="D775" s="176"/>
      <c r="E775" s="176"/>
      <c r="F775" s="176"/>
      <c r="G775" s="201" t="s">
        <v>907</v>
      </c>
      <c r="H775" s="177">
        <f>SUM(H774)</f>
        <v>0</v>
      </c>
      <c r="I775" s="172"/>
    </row>
    <row r="776" spans="1:9" s="173" customFormat="1" ht="15" hidden="1" outlineLevel="1">
      <c r="A776" s="174"/>
      <c r="B776" s="175"/>
      <c r="C776" s="175"/>
      <c r="D776" s="176"/>
      <c r="E776" s="176"/>
      <c r="F776" s="176"/>
      <c r="G776" s="201"/>
      <c r="H776" s="177"/>
      <c r="I776" s="172"/>
    </row>
    <row r="777" spans="1:10" s="173" customFormat="1" ht="15" hidden="1" outlineLevel="1">
      <c r="A777" s="168">
        <v>42370</v>
      </c>
      <c r="B777" s="169" t="s">
        <v>1011</v>
      </c>
      <c r="C777" s="169" t="s">
        <v>182</v>
      </c>
      <c r="D777" s="170" t="s">
        <v>1106</v>
      </c>
      <c r="E777" s="170"/>
      <c r="F777" s="170"/>
      <c r="G777" s="185"/>
      <c r="H777" s="171">
        <v>0</v>
      </c>
      <c r="I777" s="172"/>
      <c r="J777" s="178" t="s">
        <v>192</v>
      </c>
    </row>
    <row r="778" spans="1:9" s="173" customFormat="1" ht="15" hidden="1" outlineLevel="1">
      <c r="A778" s="174"/>
      <c r="B778" s="175"/>
      <c r="C778" s="175"/>
      <c r="D778" s="176"/>
      <c r="E778" s="176"/>
      <c r="F778" s="176"/>
      <c r="G778" s="201" t="s">
        <v>1106</v>
      </c>
      <c r="H778" s="177">
        <f>SUM(H777)</f>
        <v>0</v>
      </c>
      <c r="I778" s="172"/>
    </row>
    <row r="779" spans="1:9" s="173" customFormat="1" ht="15" hidden="1" outlineLevel="1">
      <c r="A779" s="174"/>
      <c r="B779" s="175"/>
      <c r="C779" s="175"/>
      <c r="D779" s="176"/>
      <c r="E779" s="176"/>
      <c r="F779" s="176"/>
      <c r="G779" s="201"/>
      <c r="H779" s="177"/>
      <c r="I779" s="172"/>
    </row>
    <row r="780" spans="1:10" s="173" customFormat="1" ht="15" hidden="1" outlineLevel="1">
      <c r="A780" s="168">
        <v>42488</v>
      </c>
      <c r="B780" s="169" t="s">
        <v>1011</v>
      </c>
      <c r="C780" s="169" t="s">
        <v>87</v>
      </c>
      <c r="D780" s="170" t="s">
        <v>1012</v>
      </c>
      <c r="E780" s="170"/>
      <c r="F780" s="170"/>
      <c r="G780" s="185"/>
      <c r="H780" s="171">
        <v>0</v>
      </c>
      <c r="I780" s="172" t="s">
        <v>1013</v>
      </c>
      <c r="J780" s="2" t="s">
        <v>104</v>
      </c>
    </row>
    <row r="781" spans="1:9" s="173" customFormat="1" ht="15" hidden="1" outlineLevel="1">
      <c r="A781" s="174"/>
      <c r="B781" s="175"/>
      <c r="C781" s="175"/>
      <c r="D781" s="176"/>
      <c r="E781" s="176"/>
      <c r="F781" s="176"/>
      <c r="G781" s="201" t="s">
        <v>1014</v>
      </c>
      <c r="H781" s="177">
        <f>SUM(H780)</f>
        <v>0</v>
      </c>
      <c r="I781" s="172"/>
    </row>
    <row r="782" spans="1:9" s="173" customFormat="1" ht="15" hidden="1" outlineLevel="1">
      <c r="A782" s="174"/>
      <c r="B782" s="175"/>
      <c r="C782" s="175"/>
      <c r="D782" s="176"/>
      <c r="E782" s="176"/>
      <c r="F782" s="176"/>
      <c r="G782" s="201"/>
      <c r="H782" s="177"/>
      <c r="I782" s="172"/>
    </row>
    <row r="783" spans="1:9" s="2" customFormat="1" ht="15" hidden="1" outlineLevel="1">
      <c r="A783" s="188"/>
      <c r="B783" s="262"/>
      <c r="C783" s="271"/>
      <c r="D783" s="193"/>
      <c r="E783" s="193"/>
      <c r="F783" s="193"/>
      <c r="G783" s="201" t="s">
        <v>1107</v>
      </c>
      <c r="H783" s="177">
        <f>H778+H781</f>
        <v>0</v>
      </c>
      <c r="I783" s="193"/>
    </row>
    <row r="784" spans="1:9" s="173" customFormat="1" ht="15" hidden="1" outlineLevel="1">
      <c r="A784" s="174"/>
      <c r="B784" s="175"/>
      <c r="C784" s="175"/>
      <c r="D784" s="176"/>
      <c r="E784" s="176"/>
      <c r="F784" s="176"/>
      <c r="G784" s="201"/>
      <c r="H784" s="177"/>
      <c r="I784" s="172"/>
    </row>
    <row r="785" spans="1:10" s="173" customFormat="1" ht="15" hidden="1" outlineLevel="1">
      <c r="A785" s="168">
        <v>42125</v>
      </c>
      <c r="B785" s="169" t="s">
        <v>909</v>
      </c>
      <c r="C785" s="169" t="s">
        <v>899</v>
      </c>
      <c r="D785" s="170" t="s">
        <v>910</v>
      </c>
      <c r="E785" s="170"/>
      <c r="F785" s="170"/>
      <c r="G785" s="185"/>
      <c r="H785" s="171">
        <v>0</v>
      </c>
      <c r="I785" s="172" t="s">
        <v>912</v>
      </c>
      <c r="J785" s="2" t="s">
        <v>750</v>
      </c>
    </row>
    <row r="786" spans="1:9" s="173" customFormat="1" ht="15" hidden="1" outlineLevel="1">
      <c r="A786" s="174"/>
      <c r="B786" s="175"/>
      <c r="C786" s="175"/>
      <c r="D786" s="176"/>
      <c r="E786" s="176"/>
      <c r="F786" s="176"/>
      <c r="G786" s="201" t="s">
        <v>911</v>
      </c>
      <c r="H786" s="177">
        <f>SUM(H785)</f>
        <v>0</v>
      </c>
      <c r="I786" s="172"/>
    </row>
    <row r="787" spans="1:9" s="173" customFormat="1" ht="15" hidden="1" outlineLevel="1">
      <c r="A787" s="174"/>
      <c r="B787" s="175"/>
      <c r="C787" s="175"/>
      <c r="D787" s="176"/>
      <c r="E787" s="176"/>
      <c r="F787" s="176"/>
      <c r="G787" s="201"/>
      <c r="H787" s="177"/>
      <c r="I787" s="172"/>
    </row>
    <row r="788" spans="1:10" s="173" customFormat="1" ht="15" hidden="1" outlineLevel="1">
      <c r="A788" s="168">
        <v>42005</v>
      </c>
      <c r="B788" s="169" t="s">
        <v>913</v>
      </c>
      <c r="C788" s="169" t="s">
        <v>899</v>
      </c>
      <c r="D788" s="170" t="s">
        <v>914</v>
      </c>
      <c r="E788" s="170"/>
      <c r="F788" s="170"/>
      <c r="G788" s="185"/>
      <c r="H788" s="171">
        <v>0</v>
      </c>
      <c r="I788" s="172" t="s">
        <v>916</v>
      </c>
      <c r="J788" s="2" t="s">
        <v>750</v>
      </c>
    </row>
    <row r="789" spans="1:9" s="173" customFormat="1" ht="15" hidden="1" outlineLevel="1">
      <c r="A789" s="174"/>
      <c r="B789" s="175"/>
      <c r="C789" s="175"/>
      <c r="D789" s="176"/>
      <c r="E789" s="176"/>
      <c r="F789" s="176"/>
      <c r="G789" s="201" t="s">
        <v>915</v>
      </c>
      <c r="H789" s="177">
        <f>SUM(H788)</f>
        <v>0</v>
      </c>
      <c r="I789" s="172"/>
    </row>
    <row r="790" spans="1:9" s="173" customFormat="1" ht="15" hidden="1" outlineLevel="1">
      <c r="A790" s="174"/>
      <c r="B790" s="175"/>
      <c r="C790" s="175"/>
      <c r="D790" s="176"/>
      <c r="E790" s="176"/>
      <c r="F790" s="176"/>
      <c r="G790" s="201"/>
      <c r="H790" s="177"/>
      <c r="I790" s="172"/>
    </row>
    <row r="791" spans="1:10" s="173" customFormat="1" ht="15" hidden="1" outlineLevel="1">
      <c r="A791" s="168">
        <v>42488</v>
      </c>
      <c r="B791" s="169" t="s">
        <v>952</v>
      </c>
      <c r="C791" s="169" t="s">
        <v>89</v>
      </c>
      <c r="D791" s="170" t="s">
        <v>1003</v>
      </c>
      <c r="E791" s="170"/>
      <c r="F791" s="170"/>
      <c r="G791" s="185"/>
      <c r="H791" s="171">
        <v>0</v>
      </c>
      <c r="I791" s="172" t="s">
        <v>1</v>
      </c>
      <c r="J791" s="2" t="s">
        <v>104</v>
      </c>
    </row>
    <row r="792" spans="1:9" s="173" customFormat="1" ht="15" hidden="1" outlineLevel="1">
      <c r="A792" s="174"/>
      <c r="B792" s="175"/>
      <c r="C792" s="175"/>
      <c r="D792" s="176"/>
      <c r="E792" s="176"/>
      <c r="F792" s="176"/>
      <c r="G792" s="201" t="s">
        <v>1004</v>
      </c>
      <c r="H792" s="177">
        <f>SUM(H791)</f>
        <v>0</v>
      </c>
      <c r="I792" s="172"/>
    </row>
    <row r="793" spans="1:9" s="173" customFormat="1" ht="15" hidden="1" outlineLevel="1">
      <c r="A793" s="174"/>
      <c r="B793" s="175"/>
      <c r="C793" s="175"/>
      <c r="D793" s="176"/>
      <c r="E793" s="176"/>
      <c r="F793" s="176"/>
      <c r="G793" s="201"/>
      <c r="H793" s="177"/>
      <c r="I793" s="172"/>
    </row>
    <row r="794" spans="1:10" s="173" customFormat="1" ht="15" hidden="1" outlineLevel="1">
      <c r="A794" s="168">
        <v>42145</v>
      </c>
      <c r="B794" s="169" t="s">
        <v>457</v>
      </c>
      <c r="C794" s="169" t="s">
        <v>89</v>
      </c>
      <c r="D794" s="170" t="s">
        <v>458</v>
      </c>
      <c r="E794" s="170"/>
      <c r="F794" s="170"/>
      <c r="G794" s="170"/>
      <c r="H794" s="171">
        <v>0</v>
      </c>
      <c r="I794" s="172"/>
      <c r="J794" s="178" t="s">
        <v>455</v>
      </c>
    </row>
    <row r="795" spans="1:9" s="173" customFormat="1" ht="15" hidden="1" outlineLevel="1">
      <c r="A795" s="174"/>
      <c r="B795" s="175"/>
      <c r="C795" s="175"/>
      <c r="D795" s="176"/>
      <c r="E795" s="176"/>
      <c r="F795" s="176"/>
      <c r="G795" s="201" t="s">
        <v>476</v>
      </c>
      <c r="H795" s="177">
        <f>SUM(H794)</f>
        <v>0</v>
      </c>
      <c r="I795" s="172"/>
    </row>
    <row r="796" spans="1:9" s="173" customFormat="1" ht="15" hidden="1" outlineLevel="1">
      <c r="A796" s="174"/>
      <c r="B796" s="175"/>
      <c r="C796" s="175"/>
      <c r="D796" s="176"/>
      <c r="E796" s="176"/>
      <c r="F796" s="176"/>
      <c r="G796" s="201"/>
      <c r="H796" s="177"/>
      <c r="I796" s="172"/>
    </row>
    <row r="797" spans="1:10" s="173" customFormat="1" ht="15" hidden="1" outlineLevel="1">
      <c r="A797" s="168">
        <v>42370</v>
      </c>
      <c r="B797" s="169" t="s">
        <v>1178</v>
      </c>
      <c r="C797" s="169" t="s">
        <v>1173</v>
      </c>
      <c r="D797" s="170" t="s">
        <v>1175</v>
      </c>
      <c r="E797" s="170"/>
      <c r="F797" s="170"/>
      <c r="G797" s="185"/>
      <c r="H797" s="171">
        <v>0</v>
      </c>
      <c r="I797" s="172"/>
      <c r="J797" s="178" t="s">
        <v>760</v>
      </c>
    </row>
    <row r="798" spans="1:9" s="173" customFormat="1" ht="15" hidden="1" outlineLevel="1">
      <c r="A798" s="174"/>
      <c r="B798" s="175"/>
      <c r="C798" s="175"/>
      <c r="D798" s="176"/>
      <c r="E798" s="176"/>
      <c r="F798" s="176"/>
      <c r="G798" s="201" t="s">
        <v>716</v>
      </c>
      <c r="H798" s="177">
        <f>SUM(H797)</f>
        <v>0</v>
      </c>
      <c r="I798" s="172"/>
    </row>
    <row r="799" spans="1:9" s="173" customFormat="1" ht="15" hidden="1" outlineLevel="1">
      <c r="A799" s="174"/>
      <c r="B799" s="175"/>
      <c r="C799" s="175"/>
      <c r="D799" s="176"/>
      <c r="E799" s="176"/>
      <c r="F799" s="176"/>
      <c r="G799" s="201"/>
      <c r="H799" s="177"/>
      <c r="I799" s="172"/>
    </row>
    <row r="800" spans="1:10" s="2" customFormat="1" ht="15" hidden="1" outlineLevel="1">
      <c r="A800" s="188">
        <v>42370</v>
      </c>
      <c r="B800" s="262"/>
      <c r="C800" s="271"/>
      <c r="D800" s="193" t="s">
        <v>1183</v>
      </c>
      <c r="E800" s="193"/>
      <c r="F800" s="193"/>
      <c r="G800" s="201"/>
      <c r="H800" s="177">
        <v>0</v>
      </c>
      <c r="I800" s="193"/>
      <c r="J800" s="2" t="s">
        <v>1184</v>
      </c>
    </row>
    <row r="801" spans="1:9" s="2" customFormat="1" ht="15" hidden="1" outlineLevel="1">
      <c r="A801" s="188"/>
      <c r="B801" s="262"/>
      <c r="C801" s="271"/>
      <c r="D801" s="193"/>
      <c r="E801" s="193"/>
      <c r="F801" s="193"/>
      <c r="G801" s="201"/>
      <c r="H801" s="177"/>
      <c r="I801" s="193"/>
    </row>
    <row r="802" spans="1:10" s="2" customFormat="1" ht="15" hidden="1" outlineLevel="1">
      <c r="A802" s="188">
        <v>42370</v>
      </c>
      <c r="B802" s="262"/>
      <c r="C802" s="271"/>
      <c r="D802" s="193" t="s">
        <v>1185</v>
      </c>
      <c r="E802" s="193"/>
      <c r="F802" s="193"/>
      <c r="G802" s="201"/>
      <c r="H802" s="177">
        <v>0</v>
      </c>
      <c r="I802" s="193"/>
      <c r="J802" s="2" t="s">
        <v>145</v>
      </c>
    </row>
    <row r="803" spans="1:9" s="173" customFormat="1" ht="15" collapsed="1">
      <c r="A803" s="174"/>
      <c r="B803" s="175"/>
      <c r="C803" s="175"/>
      <c r="D803" s="176"/>
      <c r="E803" s="176"/>
      <c r="F803" s="176"/>
      <c r="G803" s="201"/>
      <c r="H803" s="177"/>
      <c r="I803" s="172"/>
    </row>
    <row r="804" spans="1:9" s="173" customFormat="1" ht="15">
      <c r="A804" s="174"/>
      <c r="B804" s="175"/>
      <c r="C804" s="175"/>
      <c r="D804" s="176"/>
      <c r="E804" s="176"/>
      <c r="F804" s="176"/>
      <c r="G804" s="201" t="s">
        <v>254</v>
      </c>
      <c r="H804" s="277">
        <f>H763+H766+H772+H775+H783+H786+H769+H789+H792+H795+H798</f>
        <v>0</v>
      </c>
      <c r="I804" s="172"/>
    </row>
    <row r="805" spans="1:9" s="173" customFormat="1" ht="15">
      <c r="A805" s="174"/>
      <c r="B805" s="175"/>
      <c r="C805" s="175"/>
      <c r="D805" s="176"/>
      <c r="E805" s="176"/>
      <c r="F805" s="176"/>
      <c r="G805" s="201" t="s">
        <v>254</v>
      </c>
      <c r="H805" s="277">
        <f>H804+H800+H802</f>
        <v>0</v>
      </c>
      <c r="I805" s="172"/>
    </row>
    <row r="806" spans="1:9" s="173" customFormat="1" ht="15">
      <c r="A806" s="174"/>
      <c r="B806" s="175"/>
      <c r="C806" s="175"/>
      <c r="D806" s="176"/>
      <c r="E806" s="176"/>
      <c r="F806" s="176"/>
      <c r="G806" s="176"/>
      <c r="H806" s="177"/>
      <c r="I806" s="172"/>
    </row>
    <row r="807" spans="1:9" s="1" customFormat="1" ht="15">
      <c r="A807" s="289" t="s">
        <v>133</v>
      </c>
      <c r="B807" s="267"/>
      <c r="C807" s="267"/>
      <c r="D807" s="268"/>
      <c r="E807" s="268"/>
      <c r="F807" s="268"/>
      <c r="G807" s="268"/>
      <c r="H807" s="269"/>
      <c r="I807" s="179"/>
    </row>
    <row r="808" spans="1:10" s="247" customFormat="1" ht="15" hidden="1" outlineLevel="1">
      <c r="A808" s="234">
        <v>42346</v>
      </c>
      <c r="B808" s="205" t="s">
        <v>807</v>
      </c>
      <c r="C808" s="205" t="s">
        <v>72</v>
      </c>
      <c r="D808" s="202" t="s">
        <v>808</v>
      </c>
      <c r="E808" s="202"/>
      <c r="F808" s="202"/>
      <c r="G808" s="222"/>
      <c r="H808" s="206">
        <v>0</v>
      </c>
      <c r="I808" s="210"/>
      <c r="J808" s="199" t="s">
        <v>155</v>
      </c>
    </row>
    <row r="809" spans="1:9" s="247" customFormat="1" ht="15" hidden="1" outlineLevel="1">
      <c r="A809" s="231"/>
      <c r="B809" s="204"/>
      <c r="C809" s="204"/>
      <c r="D809" s="203"/>
      <c r="E809" s="203"/>
      <c r="F809" s="203"/>
      <c r="G809" s="207" t="s">
        <v>809</v>
      </c>
      <c r="H809" s="208">
        <f>SUM(H808)</f>
        <v>0</v>
      </c>
      <c r="I809" s="210"/>
    </row>
    <row r="810" spans="1:9" ht="15" hidden="1" outlineLevel="1">
      <c r="A810" s="249"/>
      <c r="B810" s="244"/>
      <c r="C810" s="244"/>
      <c r="D810" s="236"/>
      <c r="E810" s="236"/>
      <c r="F810" s="236"/>
      <c r="G810" s="236"/>
      <c r="H810" s="224"/>
      <c r="I810" s="233"/>
    </row>
    <row r="811" spans="1:9" s="199" customFormat="1" ht="15" hidden="1" outlineLevel="1">
      <c r="A811" s="217"/>
      <c r="B811" s="240"/>
      <c r="C811" s="240"/>
      <c r="D811" s="226"/>
      <c r="E811" s="226"/>
      <c r="F811" s="226"/>
      <c r="G811" s="226"/>
      <c r="H811" s="237"/>
      <c r="I811" s="230"/>
    </row>
    <row r="812" spans="1:10" s="199" customFormat="1" ht="15" hidden="1" outlineLevel="1">
      <c r="A812" s="212">
        <v>42124</v>
      </c>
      <c r="B812" s="213" t="s">
        <v>176</v>
      </c>
      <c r="C812" s="220" t="s">
        <v>153</v>
      </c>
      <c r="D812" s="215" t="s">
        <v>154</v>
      </c>
      <c r="E812" s="215"/>
      <c r="F812" s="215"/>
      <c r="G812" s="215"/>
      <c r="H812" s="206">
        <v>0</v>
      </c>
      <c r="I812" s="216"/>
      <c r="J812" s="199" t="s">
        <v>155</v>
      </c>
    </row>
    <row r="813" spans="1:9" s="199" customFormat="1" ht="15" hidden="1" outlineLevel="1">
      <c r="A813" s="217"/>
      <c r="B813" s="218"/>
      <c r="C813" s="221"/>
      <c r="D813" s="216"/>
      <c r="E813" s="216"/>
      <c r="F813" s="216"/>
      <c r="G813" s="207" t="s">
        <v>177</v>
      </c>
      <c r="H813" s="208">
        <f>SUM(H812)</f>
        <v>0</v>
      </c>
      <c r="I813" s="216"/>
    </row>
    <row r="814" spans="1:9" s="199" customFormat="1" ht="15" hidden="1" outlineLevel="1">
      <c r="A814" s="217"/>
      <c r="B814" s="218"/>
      <c r="C814" s="221"/>
      <c r="D814" s="216"/>
      <c r="E814" s="216"/>
      <c r="F814" s="216"/>
      <c r="G814" s="216"/>
      <c r="H814" s="208"/>
      <c r="I814" s="216"/>
    </row>
    <row r="815" spans="1:10" s="199" customFormat="1" ht="15" hidden="1" outlineLevel="1">
      <c r="A815" s="217">
        <v>42124</v>
      </c>
      <c r="B815" s="218" t="s">
        <v>176</v>
      </c>
      <c r="C815" s="221" t="s">
        <v>156</v>
      </c>
      <c r="D815" s="216" t="s">
        <v>157</v>
      </c>
      <c r="E815" s="216"/>
      <c r="F815" s="216"/>
      <c r="G815" s="216"/>
      <c r="H815" s="208">
        <v>0</v>
      </c>
      <c r="I815" s="216"/>
      <c r="J815" s="199" t="s">
        <v>155</v>
      </c>
    </row>
    <row r="816" spans="1:10" s="199" customFormat="1" ht="15" hidden="1" outlineLevel="1">
      <c r="A816" s="217">
        <v>42124</v>
      </c>
      <c r="B816" s="218" t="s">
        <v>176</v>
      </c>
      <c r="C816" s="221" t="s">
        <v>158</v>
      </c>
      <c r="D816" s="216" t="s">
        <v>159</v>
      </c>
      <c r="E816" s="216"/>
      <c r="F816" s="216"/>
      <c r="G816" s="216"/>
      <c r="H816" s="208">
        <v>0</v>
      </c>
      <c r="I816" s="216"/>
      <c r="J816" s="199" t="s">
        <v>155</v>
      </c>
    </row>
    <row r="817" spans="1:10" s="199" customFormat="1" ht="15" hidden="1" outlineLevel="1">
      <c r="A817" s="217">
        <v>42124</v>
      </c>
      <c r="B817" s="218" t="s">
        <v>176</v>
      </c>
      <c r="C817" s="221" t="s">
        <v>160</v>
      </c>
      <c r="D817" s="216" t="s">
        <v>161</v>
      </c>
      <c r="E817" s="216"/>
      <c r="F817" s="216"/>
      <c r="G817" s="216"/>
      <c r="H817" s="208">
        <v>0</v>
      </c>
      <c r="I817" s="216"/>
      <c r="J817" s="199" t="s">
        <v>155</v>
      </c>
    </row>
    <row r="818" spans="1:10" s="199" customFormat="1" ht="15" hidden="1" outlineLevel="1">
      <c r="A818" s="217">
        <v>42124</v>
      </c>
      <c r="B818" s="218" t="s">
        <v>176</v>
      </c>
      <c r="C818" s="221" t="s">
        <v>162</v>
      </c>
      <c r="D818" s="216" t="s">
        <v>163</v>
      </c>
      <c r="E818" s="216"/>
      <c r="F818" s="216"/>
      <c r="G818" s="216"/>
      <c r="H818" s="208">
        <v>0</v>
      </c>
      <c r="I818" s="216"/>
      <c r="J818" s="199" t="s">
        <v>155</v>
      </c>
    </row>
    <row r="819" spans="1:10" s="199" customFormat="1" ht="15" hidden="1" outlineLevel="1">
      <c r="A819" s="217">
        <v>42124</v>
      </c>
      <c r="B819" s="218" t="s">
        <v>176</v>
      </c>
      <c r="C819" s="221" t="s">
        <v>164</v>
      </c>
      <c r="D819" s="216" t="s">
        <v>165</v>
      </c>
      <c r="E819" s="216"/>
      <c r="F819" s="216"/>
      <c r="G819" s="216"/>
      <c r="H819" s="208">
        <v>0</v>
      </c>
      <c r="I819" s="216"/>
      <c r="J819" s="199" t="s">
        <v>155</v>
      </c>
    </row>
    <row r="820" spans="1:10" s="199" customFormat="1" ht="15" hidden="1" outlineLevel="1">
      <c r="A820" s="217">
        <v>42124</v>
      </c>
      <c r="B820" s="218" t="s">
        <v>176</v>
      </c>
      <c r="C820" s="221" t="s">
        <v>166</v>
      </c>
      <c r="D820" s="216" t="s">
        <v>167</v>
      </c>
      <c r="E820" s="216"/>
      <c r="F820" s="216"/>
      <c r="G820" s="216"/>
      <c r="H820" s="208">
        <v>0</v>
      </c>
      <c r="I820" s="216"/>
      <c r="J820" s="199" t="s">
        <v>155</v>
      </c>
    </row>
    <row r="821" spans="1:10" s="199" customFormat="1" ht="15" hidden="1" outlineLevel="1">
      <c r="A821" s="217">
        <v>42124</v>
      </c>
      <c r="B821" s="218" t="s">
        <v>176</v>
      </c>
      <c r="C821" s="221" t="s">
        <v>168</v>
      </c>
      <c r="D821" s="216" t="s">
        <v>169</v>
      </c>
      <c r="E821" s="216"/>
      <c r="F821" s="216"/>
      <c r="G821" s="216"/>
      <c r="H821" s="208">
        <v>0</v>
      </c>
      <c r="I821" s="216"/>
      <c r="J821" s="199" t="s">
        <v>155</v>
      </c>
    </row>
    <row r="822" spans="1:10" s="199" customFormat="1" ht="15" hidden="1" outlineLevel="1">
      <c r="A822" s="212">
        <v>42124</v>
      </c>
      <c r="B822" s="213" t="s">
        <v>176</v>
      </c>
      <c r="C822" s="220" t="s">
        <v>170</v>
      </c>
      <c r="D822" s="215" t="s">
        <v>171</v>
      </c>
      <c r="E822" s="215"/>
      <c r="F822" s="215"/>
      <c r="G822" s="215"/>
      <c r="H822" s="206">
        <v>0</v>
      </c>
      <c r="I822" s="216"/>
      <c r="J822" s="199" t="s">
        <v>155</v>
      </c>
    </row>
    <row r="823" spans="1:9" s="199" customFormat="1" ht="15" hidden="1" outlineLevel="1">
      <c r="A823" s="217"/>
      <c r="B823" s="218"/>
      <c r="C823" s="221"/>
      <c r="D823" s="216"/>
      <c r="E823" s="216"/>
      <c r="F823" s="216"/>
      <c r="G823" s="207" t="s">
        <v>178</v>
      </c>
      <c r="H823" s="208">
        <f>SUM(H815:H822)</f>
        <v>0</v>
      </c>
      <c r="I823" s="216"/>
    </row>
    <row r="824" spans="1:9" s="199" customFormat="1" ht="15" hidden="1" outlineLevel="1">
      <c r="A824" s="217"/>
      <c r="B824" s="218"/>
      <c r="C824" s="221"/>
      <c r="D824" s="216"/>
      <c r="E824" s="216"/>
      <c r="F824" s="216"/>
      <c r="G824" s="216"/>
      <c r="H824" s="208"/>
      <c r="I824" s="216"/>
    </row>
    <row r="825" spans="1:9" s="199" customFormat="1" ht="15" hidden="1" outlineLevel="1">
      <c r="A825" s="217"/>
      <c r="B825" s="218"/>
      <c r="C825" s="221"/>
      <c r="D825" s="216"/>
      <c r="E825" s="216"/>
      <c r="F825" s="216"/>
      <c r="G825" s="207" t="s">
        <v>179</v>
      </c>
      <c r="H825" s="208">
        <f>H813+H823</f>
        <v>0</v>
      </c>
      <c r="I825" s="216"/>
    </row>
    <row r="826" spans="1:9" s="199" customFormat="1" ht="15" hidden="1" outlineLevel="1">
      <c r="A826" s="217"/>
      <c r="B826" s="218"/>
      <c r="C826" s="221"/>
      <c r="D826" s="216"/>
      <c r="E826" s="216"/>
      <c r="F826" s="216"/>
      <c r="G826" s="207"/>
      <c r="H826" s="208"/>
      <c r="I826" s="216"/>
    </row>
    <row r="827" spans="1:11" s="199" customFormat="1" ht="15" hidden="1" outlineLevel="1">
      <c r="A827" s="234">
        <v>42370</v>
      </c>
      <c r="B827" s="205" t="s">
        <v>1037</v>
      </c>
      <c r="C827" s="205" t="s">
        <v>759</v>
      </c>
      <c r="D827" s="202" t="s">
        <v>1038</v>
      </c>
      <c r="E827" s="202"/>
      <c r="F827" s="202"/>
      <c r="G827" s="222"/>
      <c r="H827" s="206">
        <v>0</v>
      </c>
      <c r="I827" s="210"/>
      <c r="J827" s="199" t="s">
        <v>192</v>
      </c>
      <c r="K827" s="163"/>
    </row>
    <row r="828" spans="1:11" s="199" customFormat="1" ht="15" hidden="1" outlineLevel="1">
      <c r="A828" s="231"/>
      <c r="B828" s="204"/>
      <c r="C828" s="204"/>
      <c r="D828" s="203"/>
      <c r="E828" s="203"/>
      <c r="F828" s="203"/>
      <c r="G828" s="207" t="s">
        <v>1108</v>
      </c>
      <c r="H828" s="208">
        <f>SUM(H827)</f>
        <v>0</v>
      </c>
      <c r="I828" s="210"/>
      <c r="J828" s="163"/>
      <c r="K828" s="163"/>
    </row>
    <row r="829" spans="1:11" s="199" customFormat="1" ht="15" hidden="1" outlineLevel="1">
      <c r="A829" s="231"/>
      <c r="B829" s="204"/>
      <c r="C829" s="204"/>
      <c r="D829" s="203"/>
      <c r="E829" s="203"/>
      <c r="F829" s="203"/>
      <c r="G829" s="207"/>
      <c r="H829" s="208"/>
      <c r="I829" s="210"/>
      <c r="J829" s="163"/>
      <c r="K829" s="163"/>
    </row>
    <row r="830" spans="1:10" s="247" customFormat="1" ht="15" hidden="1" outlineLevel="1" collapsed="1">
      <c r="A830" s="234">
        <v>42698</v>
      </c>
      <c r="B830" s="205" t="s">
        <v>1235</v>
      </c>
      <c r="C830" s="205" t="s">
        <v>87</v>
      </c>
      <c r="D830" s="202" t="s">
        <v>1236</v>
      </c>
      <c r="E830" s="202"/>
      <c r="F830" s="202"/>
      <c r="G830" s="222"/>
      <c r="H830" s="206">
        <v>0</v>
      </c>
      <c r="I830" s="210"/>
      <c r="J830" s="200" t="s">
        <v>1234</v>
      </c>
    </row>
    <row r="831" spans="1:9" s="247" customFormat="1" ht="15" hidden="1" outlineLevel="1">
      <c r="A831" s="231"/>
      <c r="B831" s="204"/>
      <c r="C831" s="204"/>
      <c r="D831" s="203"/>
      <c r="E831" s="203"/>
      <c r="F831" s="203"/>
      <c r="G831" s="207" t="s">
        <v>1237</v>
      </c>
      <c r="H831" s="208">
        <f>SUM(H830)</f>
        <v>0</v>
      </c>
      <c r="I831" s="210"/>
    </row>
    <row r="832" spans="1:9" s="247" customFormat="1" ht="15" hidden="1" outlineLevel="1">
      <c r="A832" s="231"/>
      <c r="B832" s="204"/>
      <c r="C832" s="204"/>
      <c r="D832" s="203"/>
      <c r="E832" s="203"/>
      <c r="F832" s="203"/>
      <c r="G832" s="207"/>
      <c r="H832" s="208"/>
      <c r="I832" s="210"/>
    </row>
    <row r="833" spans="1:10" s="173" customFormat="1" ht="15" collapsed="1">
      <c r="A833" s="168">
        <v>42736</v>
      </c>
      <c r="B833" s="169" t="s">
        <v>934</v>
      </c>
      <c r="C833" s="169" t="s">
        <v>450</v>
      </c>
      <c r="D833" s="170" t="s">
        <v>1433</v>
      </c>
      <c r="E833" s="170"/>
      <c r="F833" s="170"/>
      <c r="G833" s="185"/>
      <c r="H833" s="171">
        <v>4089000</v>
      </c>
      <c r="I833" s="172"/>
      <c r="J833" s="178" t="s">
        <v>188</v>
      </c>
    </row>
    <row r="834" spans="1:9" s="173" customFormat="1" ht="15">
      <c r="A834" s="174"/>
      <c r="B834" s="175"/>
      <c r="C834" s="175"/>
      <c r="D834" s="176"/>
      <c r="E834" s="176"/>
      <c r="F834" s="176"/>
      <c r="G834" s="201" t="s">
        <v>1432</v>
      </c>
      <c r="H834" s="177">
        <f>SUM(H833)</f>
        <v>4089000</v>
      </c>
      <c r="I834" s="172"/>
    </row>
    <row r="835" spans="1:9" s="173" customFormat="1" ht="15">
      <c r="A835" s="174"/>
      <c r="B835" s="175"/>
      <c r="C835" s="175"/>
      <c r="D835" s="176"/>
      <c r="E835" s="176"/>
      <c r="F835" s="176"/>
      <c r="G835" s="201"/>
      <c r="H835" s="177"/>
      <c r="I835" s="172"/>
    </row>
    <row r="836" spans="1:10" s="173" customFormat="1" ht="15">
      <c r="A836" s="168">
        <v>42736</v>
      </c>
      <c r="B836" s="169" t="s">
        <v>934</v>
      </c>
      <c r="C836" s="169" t="s">
        <v>1435</v>
      </c>
      <c r="D836" s="170" t="s">
        <v>1436</v>
      </c>
      <c r="E836" s="170"/>
      <c r="F836" s="170"/>
      <c r="G836" s="185"/>
      <c r="H836" s="171">
        <v>-4089000</v>
      </c>
      <c r="I836" s="172"/>
      <c r="J836" s="178" t="s">
        <v>188</v>
      </c>
    </row>
    <row r="837" spans="1:9" s="173" customFormat="1" ht="15">
      <c r="A837" s="174"/>
      <c r="B837" s="175"/>
      <c r="C837" s="175"/>
      <c r="D837" s="176"/>
      <c r="E837" s="176"/>
      <c r="F837" s="176"/>
      <c r="G837" s="201" t="s">
        <v>1434</v>
      </c>
      <c r="H837" s="177">
        <f>SUM(H836)</f>
        <v>-4089000</v>
      </c>
      <c r="I837" s="172"/>
    </row>
    <row r="838" spans="1:9" s="173" customFormat="1" ht="15" hidden="1" outlineLevel="1">
      <c r="A838" s="174"/>
      <c r="B838" s="175"/>
      <c r="C838" s="175"/>
      <c r="D838" s="176"/>
      <c r="E838" s="176"/>
      <c r="F838" s="176"/>
      <c r="G838" s="201"/>
      <c r="H838" s="177"/>
      <c r="I838" s="172"/>
    </row>
    <row r="839" spans="1:10" s="247" customFormat="1" ht="15" hidden="1" outlineLevel="1">
      <c r="A839" s="234">
        <v>42717</v>
      </c>
      <c r="B839" s="205" t="s">
        <v>934</v>
      </c>
      <c r="C839" s="205" t="s">
        <v>72</v>
      </c>
      <c r="D839" s="202" t="s">
        <v>1437</v>
      </c>
      <c r="E839" s="202"/>
      <c r="F839" s="202"/>
      <c r="G839" s="222"/>
      <c r="H839" s="206">
        <v>0</v>
      </c>
      <c r="I839" s="210"/>
      <c r="J839" s="200" t="s">
        <v>1417</v>
      </c>
    </row>
    <row r="840" spans="1:9" s="247" customFormat="1" ht="15" hidden="1" outlineLevel="1">
      <c r="A840" s="231"/>
      <c r="B840" s="204"/>
      <c r="C840" s="204"/>
      <c r="D840" s="203"/>
      <c r="E840" s="203"/>
      <c r="F840" s="203"/>
      <c r="G840" s="207" t="s">
        <v>1438</v>
      </c>
      <c r="H840" s="208">
        <f>SUM(H839)</f>
        <v>0</v>
      </c>
      <c r="I840" s="210"/>
    </row>
    <row r="841" spans="1:9" s="173" customFormat="1" ht="15" collapsed="1">
      <c r="A841" s="174"/>
      <c r="B841" s="175"/>
      <c r="C841" s="175"/>
      <c r="D841" s="176"/>
      <c r="E841" s="176"/>
      <c r="F841" s="176"/>
      <c r="G841" s="201"/>
      <c r="H841" s="177"/>
      <c r="I841" s="172"/>
    </row>
    <row r="842" spans="1:10" s="247" customFormat="1" ht="15" hidden="1" outlineLevel="1">
      <c r="A842" s="231">
        <v>42717</v>
      </c>
      <c r="B842" s="204" t="s">
        <v>934</v>
      </c>
      <c r="C842" s="204" t="s">
        <v>1439</v>
      </c>
      <c r="D842" s="203" t="s">
        <v>1440</v>
      </c>
      <c r="E842" s="203"/>
      <c r="F842" s="203"/>
      <c r="G842" s="207"/>
      <c r="H842" s="208">
        <v>0</v>
      </c>
      <c r="I842" s="210"/>
      <c r="J842" s="200" t="s">
        <v>1417</v>
      </c>
    </row>
    <row r="843" spans="1:10" s="173" customFormat="1" ht="15" collapsed="1">
      <c r="A843" s="168">
        <v>42901</v>
      </c>
      <c r="B843" s="169" t="s">
        <v>934</v>
      </c>
      <c r="C843" s="169" t="s">
        <v>1442</v>
      </c>
      <c r="D843" s="170" t="s">
        <v>1603</v>
      </c>
      <c r="E843" s="170"/>
      <c r="F843" s="170"/>
      <c r="G843" s="185"/>
      <c r="H843" s="171">
        <v>100000</v>
      </c>
      <c r="I843" s="172"/>
      <c r="J843" s="178" t="s">
        <v>969</v>
      </c>
    </row>
    <row r="844" spans="1:9" s="173" customFormat="1" ht="15">
      <c r="A844" s="174"/>
      <c r="B844" s="175"/>
      <c r="C844" s="175"/>
      <c r="D844" s="176"/>
      <c r="E844" s="176"/>
      <c r="F844" s="176"/>
      <c r="G844" s="201" t="s">
        <v>1441</v>
      </c>
      <c r="H844" s="177">
        <f>SUM(H842:H843)</f>
        <v>100000</v>
      </c>
      <c r="I844" s="172"/>
    </row>
    <row r="845" spans="1:9" s="2" customFormat="1" ht="15">
      <c r="A845" s="188"/>
      <c r="B845" s="262"/>
      <c r="C845" s="271"/>
      <c r="D845" s="193"/>
      <c r="E845" s="193"/>
      <c r="F845" s="193"/>
      <c r="G845" s="201"/>
      <c r="H845" s="177"/>
      <c r="I845" s="193"/>
    </row>
    <row r="846" spans="1:14" s="173" customFormat="1" ht="15">
      <c r="A846" s="168">
        <v>42736</v>
      </c>
      <c r="B846" s="169" t="s">
        <v>934</v>
      </c>
      <c r="C846" s="169" t="s">
        <v>182</v>
      </c>
      <c r="D846" s="170" t="s">
        <v>1109</v>
      </c>
      <c r="E846" s="170"/>
      <c r="F846" s="170"/>
      <c r="G846" s="185"/>
      <c r="H846" s="171">
        <v>452239</v>
      </c>
      <c r="I846" s="172"/>
      <c r="J846" s="178" t="s">
        <v>192</v>
      </c>
      <c r="N846" s="280"/>
    </row>
    <row r="847" spans="1:9" s="173" customFormat="1" ht="15">
      <c r="A847" s="174"/>
      <c r="B847" s="175"/>
      <c r="C847" s="175"/>
      <c r="D847" s="176"/>
      <c r="E847" s="176"/>
      <c r="F847" s="176"/>
      <c r="G847" s="201" t="s">
        <v>1109</v>
      </c>
      <c r="H847" s="177">
        <f>SUM(H846)</f>
        <v>452239</v>
      </c>
      <c r="I847" s="172"/>
    </row>
    <row r="848" spans="1:9" s="2" customFormat="1" ht="15">
      <c r="A848" s="188"/>
      <c r="B848" s="262"/>
      <c r="C848" s="271"/>
      <c r="D848" s="193"/>
      <c r="E848" s="193"/>
      <c r="F848" s="193"/>
      <c r="G848" s="201"/>
      <c r="H848" s="177"/>
      <c r="I848" s="193"/>
    </row>
    <row r="849" spans="1:10" s="173" customFormat="1" ht="15" collapsed="1">
      <c r="A849" s="174">
        <v>42901</v>
      </c>
      <c r="B849" s="175" t="s">
        <v>934</v>
      </c>
      <c r="C849" s="175" t="s">
        <v>1602</v>
      </c>
      <c r="D849" s="176" t="s">
        <v>1605</v>
      </c>
      <c r="E849" s="176"/>
      <c r="F849" s="176"/>
      <c r="G849" s="201"/>
      <c r="H849" s="177">
        <v>250000</v>
      </c>
      <c r="I849" s="172" t="s">
        <v>1</v>
      </c>
      <c r="J849" s="2" t="s">
        <v>969</v>
      </c>
    </row>
    <row r="850" spans="1:10" s="173" customFormat="1" ht="15">
      <c r="A850" s="174">
        <v>42901</v>
      </c>
      <c r="B850" s="175" t="s">
        <v>934</v>
      </c>
      <c r="C850" s="175" t="s">
        <v>1604</v>
      </c>
      <c r="D850" s="176" t="s">
        <v>1606</v>
      </c>
      <c r="E850" s="176"/>
      <c r="F850" s="176"/>
      <c r="G850" s="201"/>
      <c r="H850" s="177">
        <v>150000</v>
      </c>
      <c r="I850" s="172"/>
      <c r="J850" s="2" t="s">
        <v>969</v>
      </c>
    </row>
    <row r="851" spans="1:10" s="173" customFormat="1" ht="15">
      <c r="A851" s="174">
        <v>42901</v>
      </c>
      <c r="B851" s="175" t="s">
        <v>934</v>
      </c>
      <c r="C851" s="175" t="s">
        <v>1607</v>
      </c>
      <c r="D851" s="176" t="s">
        <v>1608</v>
      </c>
      <c r="E851" s="176"/>
      <c r="F851" s="176"/>
      <c r="G851" s="201"/>
      <c r="H851" s="177">
        <v>100000</v>
      </c>
      <c r="I851" s="172"/>
      <c r="J851" s="2" t="s">
        <v>969</v>
      </c>
    </row>
    <row r="852" spans="1:10" s="173" customFormat="1" ht="15">
      <c r="A852" s="174">
        <v>42901</v>
      </c>
      <c r="B852" s="175" t="s">
        <v>934</v>
      </c>
      <c r="C852" s="175" t="s">
        <v>1609</v>
      </c>
      <c r="D852" s="176" t="s">
        <v>1608</v>
      </c>
      <c r="E852" s="176"/>
      <c r="F852" s="176"/>
      <c r="G852" s="201"/>
      <c r="H852" s="177">
        <v>100000</v>
      </c>
      <c r="I852" s="172"/>
      <c r="J852" s="2" t="s">
        <v>969</v>
      </c>
    </row>
    <row r="853" spans="1:10" s="173" customFormat="1" ht="15">
      <c r="A853" s="174">
        <v>42901</v>
      </c>
      <c r="B853" s="175" t="s">
        <v>934</v>
      </c>
      <c r="C853" s="175" t="s">
        <v>87</v>
      </c>
      <c r="D853" s="176" t="s">
        <v>1610</v>
      </c>
      <c r="E853" s="176"/>
      <c r="F853" s="176"/>
      <c r="G853" s="201"/>
      <c r="H853" s="177">
        <v>800000</v>
      </c>
      <c r="I853" s="172"/>
      <c r="J853" s="2" t="s">
        <v>969</v>
      </c>
    </row>
    <row r="854" spans="1:10" s="247" customFormat="1" ht="15" hidden="1" outlineLevel="1">
      <c r="A854" s="231">
        <v>42717</v>
      </c>
      <c r="B854" s="204" t="s">
        <v>934</v>
      </c>
      <c r="C854" s="204" t="s">
        <v>1314</v>
      </c>
      <c r="D854" s="203" t="s">
        <v>1450</v>
      </c>
      <c r="E854" s="203"/>
      <c r="F854" s="203"/>
      <c r="G854" s="207"/>
      <c r="H854" s="208">
        <v>0</v>
      </c>
      <c r="I854" s="210"/>
      <c r="J854" s="199" t="s">
        <v>1417</v>
      </c>
    </row>
    <row r="855" spans="1:10" s="173" customFormat="1" ht="15" collapsed="1">
      <c r="A855" s="168">
        <v>42736</v>
      </c>
      <c r="B855" s="169" t="s">
        <v>934</v>
      </c>
      <c r="C855" s="169" t="s">
        <v>1648</v>
      </c>
      <c r="D855" s="170" t="s">
        <v>1649</v>
      </c>
      <c r="E855" s="170"/>
      <c r="F855" s="170"/>
      <c r="G855" s="185"/>
      <c r="H855" s="171">
        <v>31000</v>
      </c>
      <c r="I855" s="172"/>
      <c r="J855" s="2" t="s">
        <v>192</v>
      </c>
    </row>
    <row r="856" spans="1:9" s="173" customFormat="1" ht="15">
      <c r="A856" s="174"/>
      <c r="B856" s="175"/>
      <c r="C856" s="175"/>
      <c r="D856" s="176"/>
      <c r="E856" s="176"/>
      <c r="F856" s="176"/>
      <c r="G856" s="201" t="s">
        <v>935</v>
      </c>
      <c r="H856" s="177">
        <f>SUM(H849:H855)</f>
        <v>1431000</v>
      </c>
      <c r="I856" s="172"/>
    </row>
    <row r="857" spans="1:9" s="173" customFormat="1" ht="15">
      <c r="A857" s="174"/>
      <c r="B857" s="175"/>
      <c r="C857" s="175"/>
      <c r="D857" s="176"/>
      <c r="E857" s="176"/>
      <c r="F857" s="176"/>
      <c r="G857" s="201"/>
      <c r="H857" s="177"/>
      <c r="I857" s="172"/>
    </row>
    <row r="858" spans="1:9" s="2" customFormat="1" ht="15">
      <c r="A858" s="188"/>
      <c r="B858" s="262"/>
      <c r="C858" s="271"/>
      <c r="D858" s="193"/>
      <c r="E858" s="193"/>
      <c r="F858" s="193"/>
      <c r="G858" s="201" t="s">
        <v>1110</v>
      </c>
      <c r="H858" s="177">
        <f>H834+H837+H840+H844+H847+H856</f>
        <v>1983239</v>
      </c>
      <c r="I858" s="193"/>
    </row>
    <row r="859" spans="1:9" s="199" customFormat="1" ht="15" hidden="1" outlineLevel="1">
      <c r="A859" s="217"/>
      <c r="B859" s="218"/>
      <c r="C859" s="221"/>
      <c r="D859" s="216"/>
      <c r="E859" s="216"/>
      <c r="F859" s="216"/>
      <c r="G859" s="207"/>
      <c r="H859" s="208"/>
      <c r="I859" s="216"/>
    </row>
    <row r="860" spans="1:10" s="247" customFormat="1" ht="15" hidden="1" outlineLevel="1">
      <c r="A860" s="234">
        <v>42717</v>
      </c>
      <c r="B860" s="205" t="s">
        <v>175</v>
      </c>
      <c r="C860" s="205" t="s">
        <v>72</v>
      </c>
      <c r="D860" s="202" t="s">
        <v>1443</v>
      </c>
      <c r="E860" s="202"/>
      <c r="F860" s="202"/>
      <c r="G860" s="222"/>
      <c r="H860" s="206">
        <v>0</v>
      </c>
      <c r="I860" s="210"/>
      <c r="J860" s="199" t="s">
        <v>1417</v>
      </c>
    </row>
    <row r="861" spans="1:9" s="247" customFormat="1" ht="15" hidden="1" outlineLevel="1">
      <c r="A861" s="231"/>
      <c r="B861" s="204"/>
      <c r="C861" s="204"/>
      <c r="D861" s="203"/>
      <c r="E861" s="203"/>
      <c r="F861" s="203"/>
      <c r="G861" s="207" t="s">
        <v>1444</v>
      </c>
      <c r="H861" s="208">
        <f>SUM(H860)</f>
        <v>0</v>
      </c>
      <c r="I861" s="210"/>
    </row>
    <row r="862" spans="1:9" s="173" customFormat="1" ht="15" collapsed="1">
      <c r="A862" s="174"/>
      <c r="B862" s="175"/>
      <c r="C862" s="175"/>
      <c r="D862" s="176"/>
      <c r="E862" s="176"/>
      <c r="F862" s="176"/>
      <c r="G862" s="201"/>
      <c r="H862" s="177"/>
      <c r="I862" s="172"/>
    </row>
    <row r="863" spans="1:10" s="173" customFormat="1" ht="15">
      <c r="A863" s="168">
        <v>42717</v>
      </c>
      <c r="B863" s="169" t="s">
        <v>175</v>
      </c>
      <c r="C863" s="169" t="s">
        <v>1445</v>
      </c>
      <c r="D863" s="170" t="s">
        <v>1620</v>
      </c>
      <c r="E863" s="170"/>
      <c r="F863" s="170"/>
      <c r="G863" s="185"/>
      <c r="H863" s="171">
        <v>2000000</v>
      </c>
      <c r="I863" s="172"/>
      <c r="J863" s="2" t="s">
        <v>969</v>
      </c>
    </row>
    <row r="864" spans="1:9" s="173" customFormat="1" ht="15">
      <c r="A864" s="174"/>
      <c r="B864" s="175"/>
      <c r="C864" s="175"/>
      <c r="D864" s="176"/>
      <c r="E864" s="176"/>
      <c r="F864" s="176"/>
      <c r="G864" s="201" t="s">
        <v>1446</v>
      </c>
      <c r="H864" s="177">
        <f>SUM(H863)</f>
        <v>2000000</v>
      </c>
      <c r="I864" s="172"/>
    </row>
    <row r="865" spans="1:9" s="199" customFormat="1" ht="15" hidden="1" outlineLevel="1">
      <c r="A865" s="217"/>
      <c r="B865" s="240"/>
      <c r="C865" s="240"/>
      <c r="D865" s="226"/>
      <c r="E865" s="226"/>
      <c r="F865" s="226"/>
      <c r="G865" s="226"/>
      <c r="H865" s="237"/>
      <c r="I865" s="230"/>
    </row>
    <row r="866" spans="1:10" ht="15" hidden="1" outlineLevel="1">
      <c r="A866" s="231">
        <v>42492</v>
      </c>
      <c r="B866" s="204" t="s">
        <v>175</v>
      </c>
      <c r="C866" s="204" t="s">
        <v>78</v>
      </c>
      <c r="D866" s="203" t="s">
        <v>1312</v>
      </c>
      <c r="E866" s="203"/>
      <c r="F866" s="203"/>
      <c r="G866" s="203"/>
      <c r="H866" s="208">
        <v>0</v>
      </c>
      <c r="I866" s="210"/>
      <c r="J866" s="163" t="s">
        <v>1266</v>
      </c>
    </row>
    <row r="867" spans="1:10" ht="15" hidden="1" outlineLevel="1">
      <c r="A867" s="234">
        <v>42492</v>
      </c>
      <c r="B867" s="205" t="s">
        <v>175</v>
      </c>
      <c r="C867" s="205" t="s">
        <v>78</v>
      </c>
      <c r="D867" s="202" t="s">
        <v>1313</v>
      </c>
      <c r="E867" s="202"/>
      <c r="F867" s="202"/>
      <c r="G867" s="202"/>
      <c r="H867" s="206">
        <v>0</v>
      </c>
      <c r="I867" s="210"/>
      <c r="J867" s="163" t="s">
        <v>1266</v>
      </c>
    </row>
    <row r="868" spans="1:9" ht="15" hidden="1" outlineLevel="1">
      <c r="A868" s="231"/>
      <c r="B868" s="204"/>
      <c r="C868" s="204"/>
      <c r="D868" s="203"/>
      <c r="E868" s="203"/>
      <c r="F868" s="203"/>
      <c r="G868" s="207" t="s">
        <v>134</v>
      </c>
      <c r="H868" s="208">
        <f>SUM(H866:H867)</f>
        <v>0</v>
      </c>
      <c r="I868" s="210"/>
    </row>
    <row r="869" spans="1:9" ht="15" hidden="1" outlineLevel="1">
      <c r="A869" s="231"/>
      <c r="B869" s="204"/>
      <c r="C869" s="204"/>
      <c r="D869" s="203"/>
      <c r="E869" s="203"/>
      <c r="F869" s="203"/>
      <c r="G869" s="207"/>
      <c r="H869" s="208"/>
      <c r="I869" s="210"/>
    </row>
    <row r="870" spans="1:9" ht="15" hidden="1" outlineLevel="1">
      <c r="A870" s="231"/>
      <c r="B870" s="204"/>
      <c r="C870" s="204"/>
      <c r="D870" s="203"/>
      <c r="E870" s="203"/>
      <c r="F870" s="203"/>
      <c r="G870" s="207"/>
      <c r="H870" s="208"/>
      <c r="I870" s="210"/>
    </row>
    <row r="871" spans="1:10" ht="15" hidden="1" outlineLevel="1">
      <c r="A871" s="234">
        <v>42370</v>
      </c>
      <c r="B871" s="205" t="s">
        <v>175</v>
      </c>
      <c r="C871" s="205" t="s">
        <v>182</v>
      </c>
      <c r="D871" s="202" t="s">
        <v>267</v>
      </c>
      <c r="E871" s="202"/>
      <c r="F871" s="202"/>
      <c r="G871" s="222"/>
      <c r="H871" s="206">
        <v>0</v>
      </c>
      <c r="I871" s="210"/>
      <c r="J871" s="199" t="s">
        <v>192</v>
      </c>
    </row>
    <row r="872" spans="1:9" ht="15" hidden="1" outlineLevel="1">
      <c r="A872" s="231"/>
      <c r="B872" s="204"/>
      <c r="C872" s="204"/>
      <c r="D872" s="203"/>
      <c r="E872" s="203"/>
      <c r="F872" s="203"/>
      <c r="G872" s="207" t="s">
        <v>267</v>
      </c>
      <c r="H872" s="208">
        <f>SUM(H871)</f>
        <v>0</v>
      </c>
      <c r="I872" s="210"/>
    </row>
    <row r="873" spans="1:9" s="1" customFormat="1" ht="15" collapsed="1">
      <c r="A873" s="174"/>
      <c r="B873" s="175"/>
      <c r="C873" s="175"/>
      <c r="D873" s="176"/>
      <c r="E873" s="176"/>
      <c r="F873" s="176"/>
      <c r="G873" s="201"/>
      <c r="H873" s="177"/>
      <c r="I873" s="172"/>
    </row>
    <row r="874" spans="1:9" s="1" customFormat="1" ht="15" collapsed="1">
      <c r="A874" s="174"/>
      <c r="B874" s="175"/>
      <c r="C874" s="175"/>
      <c r="D874" s="176"/>
      <c r="E874" s="176"/>
      <c r="F874" s="176"/>
      <c r="G874" s="201" t="s">
        <v>882</v>
      </c>
      <c r="H874" s="177">
        <f>H861+H864+H868+H872</f>
        <v>2000000</v>
      </c>
      <c r="I874" s="172"/>
    </row>
    <row r="875" spans="1:9" ht="15" hidden="1" outlineLevel="1">
      <c r="A875" s="231"/>
      <c r="B875" s="204"/>
      <c r="C875" s="204"/>
      <c r="D875" s="203"/>
      <c r="E875" s="203"/>
      <c r="F875" s="203"/>
      <c r="G875" s="207"/>
      <c r="H875" s="208"/>
      <c r="I875" s="210"/>
    </row>
    <row r="876" spans="1:10" s="247" customFormat="1" ht="15" hidden="1" outlineLevel="1">
      <c r="A876" s="234">
        <v>42717</v>
      </c>
      <c r="B876" s="205" t="s">
        <v>1230</v>
      </c>
      <c r="C876" s="205" t="s">
        <v>72</v>
      </c>
      <c r="D876" s="202" t="s">
        <v>1447</v>
      </c>
      <c r="E876" s="202"/>
      <c r="F876" s="202"/>
      <c r="G876" s="222"/>
      <c r="H876" s="206">
        <v>0</v>
      </c>
      <c r="I876" s="210"/>
      <c r="J876" s="199" t="s">
        <v>1417</v>
      </c>
    </row>
    <row r="877" spans="1:9" s="247" customFormat="1" ht="15" hidden="1" outlineLevel="1">
      <c r="A877" s="231"/>
      <c r="B877" s="204"/>
      <c r="C877" s="204"/>
      <c r="D877" s="203"/>
      <c r="E877" s="203"/>
      <c r="F877" s="203"/>
      <c r="G877" s="207" t="s">
        <v>1448</v>
      </c>
      <c r="H877" s="208">
        <f>SUM(H876)</f>
        <v>0</v>
      </c>
      <c r="I877" s="210"/>
    </row>
    <row r="878" spans="1:9" s="1" customFormat="1" ht="15" collapsed="1">
      <c r="A878" s="174"/>
      <c r="B878" s="175"/>
      <c r="C878" s="175"/>
      <c r="D878" s="176"/>
      <c r="E878" s="176"/>
      <c r="F878" s="176"/>
      <c r="G878" s="201"/>
      <c r="H878" s="177"/>
      <c r="I878" s="172"/>
    </row>
    <row r="879" spans="1:10" s="1" customFormat="1" ht="15">
      <c r="A879" s="174">
        <v>42736</v>
      </c>
      <c r="B879" s="175" t="s">
        <v>1230</v>
      </c>
      <c r="C879" s="175" t="s">
        <v>1397</v>
      </c>
      <c r="D879" s="176" t="s">
        <v>1650</v>
      </c>
      <c r="E879" s="176"/>
      <c r="F879" s="176"/>
      <c r="G879" s="201"/>
      <c r="H879" s="177">
        <v>-750000</v>
      </c>
      <c r="I879" s="172"/>
      <c r="J879" s="1" t="s">
        <v>188</v>
      </c>
    </row>
    <row r="880" spans="1:10" s="173" customFormat="1" ht="15">
      <c r="A880" s="174">
        <v>42736</v>
      </c>
      <c r="B880" s="175" t="s">
        <v>1230</v>
      </c>
      <c r="C880" s="175" t="s">
        <v>1197</v>
      </c>
      <c r="D880" s="176" t="s">
        <v>1231</v>
      </c>
      <c r="E880" s="176"/>
      <c r="F880" s="176"/>
      <c r="G880" s="201"/>
      <c r="H880" s="177">
        <v>750000</v>
      </c>
      <c r="I880" s="172"/>
      <c r="J880" s="2" t="s">
        <v>192</v>
      </c>
    </row>
    <row r="881" spans="1:10" s="173" customFormat="1" ht="15">
      <c r="A881" s="168">
        <v>42736</v>
      </c>
      <c r="B881" s="169" t="s">
        <v>1230</v>
      </c>
      <c r="C881" s="169" t="s">
        <v>1648</v>
      </c>
      <c r="D881" s="170" t="s">
        <v>1651</v>
      </c>
      <c r="E881" s="170"/>
      <c r="F881" s="170"/>
      <c r="G881" s="185"/>
      <c r="H881" s="171">
        <v>21000</v>
      </c>
      <c r="I881" s="172"/>
      <c r="J881" s="260" t="s">
        <v>192</v>
      </c>
    </row>
    <row r="882" spans="1:9" s="173" customFormat="1" ht="15">
      <c r="A882" s="174"/>
      <c r="B882" s="175"/>
      <c r="C882" s="175"/>
      <c r="D882" s="176"/>
      <c r="E882" s="176"/>
      <c r="F882" s="176"/>
      <c r="G882" s="201" t="s">
        <v>1232</v>
      </c>
      <c r="H882" s="177">
        <f>SUM(H879:H881)</f>
        <v>21000</v>
      </c>
      <c r="I882" s="172"/>
    </row>
    <row r="883" spans="1:9" s="173" customFormat="1" ht="15">
      <c r="A883" s="174"/>
      <c r="B883" s="175"/>
      <c r="C883" s="175"/>
      <c r="D883" s="176"/>
      <c r="E883" s="176"/>
      <c r="F883" s="176"/>
      <c r="G883" s="201"/>
      <c r="H883" s="177"/>
      <c r="I883" s="172"/>
    </row>
    <row r="884" spans="1:9" s="173" customFormat="1" ht="15">
      <c r="A884" s="174"/>
      <c r="B884" s="175"/>
      <c r="C884" s="175"/>
      <c r="D884" s="176"/>
      <c r="E884" s="176"/>
      <c r="F884" s="176"/>
      <c r="G884" s="201" t="s">
        <v>1449</v>
      </c>
      <c r="H884" s="177">
        <f>H877+H882</f>
        <v>21000</v>
      </c>
      <c r="I884" s="172"/>
    </row>
    <row r="885" spans="1:9" ht="15" hidden="1" outlineLevel="1">
      <c r="A885" s="231"/>
      <c r="B885" s="204"/>
      <c r="C885" s="204"/>
      <c r="D885" s="203"/>
      <c r="E885" s="203"/>
      <c r="F885" s="203"/>
      <c r="G885" s="207"/>
      <c r="H885" s="208"/>
      <c r="I885" s="210"/>
    </row>
    <row r="886" spans="1:10" s="247" customFormat="1" ht="15" hidden="1" outlineLevel="1">
      <c r="A886" s="234">
        <v>42409</v>
      </c>
      <c r="B886" s="205" t="s">
        <v>982</v>
      </c>
      <c r="C886" s="205" t="s">
        <v>89</v>
      </c>
      <c r="D886" s="202" t="s">
        <v>983</v>
      </c>
      <c r="E886" s="202"/>
      <c r="F886" s="202"/>
      <c r="G886" s="222"/>
      <c r="H886" s="206">
        <v>0</v>
      </c>
      <c r="I886" s="210"/>
      <c r="J886" s="199" t="s">
        <v>984</v>
      </c>
    </row>
    <row r="887" spans="1:9" s="247" customFormat="1" ht="15" hidden="1" outlineLevel="1">
      <c r="A887" s="231"/>
      <c r="B887" s="204"/>
      <c r="C887" s="204"/>
      <c r="D887" s="203"/>
      <c r="E887" s="203"/>
      <c r="F887" s="203"/>
      <c r="G887" s="207" t="s">
        <v>115</v>
      </c>
      <c r="H887" s="208">
        <f>SUM(H886)</f>
        <v>0</v>
      </c>
      <c r="I887" s="210"/>
    </row>
    <row r="888" spans="1:9" s="247" customFormat="1" ht="15" hidden="1" outlineLevel="1">
      <c r="A888" s="231"/>
      <c r="B888" s="204"/>
      <c r="C888" s="204"/>
      <c r="D888" s="203"/>
      <c r="E888" s="203"/>
      <c r="F888" s="203"/>
      <c r="G888" s="207"/>
      <c r="H888" s="208"/>
      <c r="I888" s="210"/>
    </row>
    <row r="889" spans="1:10" s="247" customFormat="1" ht="15" hidden="1" outlineLevel="1" collapsed="1">
      <c r="A889" s="234">
        <v>42370</v>
      </c>
      <c r="B889" s="205" t="s">
        <v>1179</v>
      </c>
      <c r="C889" s="205" t="s">
        <v>1173</v>
      </c>
      <c r="D889" s="202" t="s">
        <v>1175</v>
      </c>
      <c r="E889" s="202"/>
      <c r="F889" s="202"/>
      <c r="G889" s="222"/>
      <c r="H889" s="206">
        <v>0</v>
      </c>
      <c r="I889" s="210"/>
      <c r="J889" s="200" t="s">
        <v>760</v>
      </c>
    </row>
    <row r="890" spans="1:9" s="247" customFormat="1" ht="15" hidden="1" outlineLevel="1">
      <c r="A890" s="231"/>
      <c r="B890" s="204"/>
      <c r="C890" s="204"/>
      <c r="D890" s="203"/>
      <c r="E890" s="203"/>
      <c r="F890" s="203"/>
      <c r="G890" s="207" t="s">
        <v>716</v>
      </c>
      <c r="H890" s="208">
        <f>SUM(H889)</f>
        <v>0</v>
      </c>
      <c r="I890" s="210"/>
    </row>
    <row r="891" spans="1:9" s="247" customFormat="1" ht="15" hidden="1" outlineLevel="1">
      <c r="A891" s="231"/>
      <c r="B891" s="204"/>
      <c r="C891" s="204"/>
      <c r="D891" s="203"/>
      <c r="E891" s="203"/>
      <c r="F891" s="203"/>
      <c r="G891" s="207"/>
      <c r="H891" s="208"/>
      <c r="I891" s="210"/>
    </row>
    <row r="892" spans="1:10" s="199" customFormat="1" ht="15" hidden="1" outlineLevel="1">
      <c r="A892" s="217">
        <v>42886</v>
      </c>
      <c r="B892" s="218"/>
      <c r="C892" s="221"/>
      <c r="D892" s="216" t="s">
        <v>1183</v>
      </c>
      <c r="E892" s="216"/>
      <c r="F892" s="216"/>
      <c r="G892" s="207"/>
      <c r="H892" s="208">
        <v>0</v>
      </c>
      <c r="I892" s="216"/>
      <c r="J892" s="199" t="s">
        <v>1184</v>
      </c>
    </row>
    <row r="893" spans="1:9" s="199" customFormat="1" ht="15" hidden="1" outlineLevel="1">
      <c r="A893" s="217"/>
      <c r="B893" s="218"/>
      <c r="C893" s="221"/>
      <c r="D893" s="216"/>
      <c r="E893" s="216"/>
      <c r="F893" s="216"/>
      <c r="G893" s="207"/>
      <c r="H893" s="208"/>
      <c r="I893" s="216"/>
    </row>
    <row r="894" spans="1:10" s="199" customFormat="1" ht="15" hidden="1" outlineLevel="1">
      <c r="A894" s="217">
        <v>42370</v>
      </c>
      <c r="B894" s="218"/>
      <c r="C894" s="221"/>
      <c r="D894" s="216" t="s">
        <v>1185</v>
      </c>
      <c r="E894" s="216"/>
      <c r="F894" s="216"/>
      <c r="G894" s="207"/>
      <c r="H894" s="208">
        <v>0</v>
      </c>
      <c r="I894" s="216"/>
      <c r="J894" s="199" t="s">
        <v>145</v>
      </c>
    </row>
    <row r="895" spans="1:9" s="1" customFormat="1" ht="15" collapsed="1">
      <c r="A895" s="174"/>
      <c r="B895" s="175"/>
      <c r="C895" s="175"/>
      <c r="D895" s="176"/>
      <c r="E895" s="176"/>
      <c r="F895" s="176"/>
      <c r="G895" s="201"/>
      <c r="H895" s="177"/>
      <c r="I895" s="172"/>
    </row>
    <row r="896" spans="1:9" s="1" customFormat="1" ht="15" collapsed="1">
      <c r="A896" s="174"/>
      <c r="B896" s="175"/>
      <c r="C896" s="175"/>
      <c r="D896" s="176"/>
      <c r="E896" s="176"/>
      <c r="F896" s="176"/>
      <c r="G896" s="201" t="s">
        <v>135</v>
      </c>
      <c r="H896" s="277">
        <f>H809+H825+H828+H831+H858+H874+H884+H887+H890</f>
        <v>4004239</v>
      </c>
      <c r="I896" s="172"/>
    </row>
    <row r="897" spans="1:9" s="1" customFormat="1" ht="15">
      <c r="A897" s="174"/>
      <c r="B897" s="175"/>
      <c r="C897" s="175"/>
      <c r="D897" s="176"/>
      <c r="E897" s="176"/>
      <c r="F897" s="176"/>
      <c r="G897" s="201" t="s">
        <v>135</v>
      </c>
      <c r="H897" s="277">
        <f>H896+H892+H894</f>
        <v>4004239</v>
      </c>
      <c r="I897" s="172"/>
    </row>
    <row r="898" spans="1:9" s="1" customFormat="1" ht="15">
      <c r="A898" s="174"/>
      <c r="B898" s="175"/>
      <c r="C898" s="175"/>
      <c r="D898" s="176"/>
      <c r="E898" s="176"/>
      <c r="F898" s="176"/>
      <c r="G898" s="176"/>
      <c r="H898" s="177"/>
      <c r="I898" s="172"/>
    </row>
    <row r="899" spans="1:9" s="1" customFormat="1" ht="15">
      <c r="A899" s="289" t="s">
        <v>68</v>
      </c>
      <c r="B899" s="267"/>
      <c r="C899" s="267"/>
      <c r="D899" s="268"/>
      <c r="E899" s="268"/>
      <c r="F899" s="268"/>
      <c r="G899" s="268"/>
      <c r="H899" s="269"/>
      <c r="I899" s="179"/>
    </row>
    <row r="900" spans="1:10" s="2" customFormat="1" ht="15">
      <c r="A900" s="182">
        <v>42901</v>
      </c>
      <c r="B900" s="183" t="s">
        <v>69</v>
      </c>
      <c r="C900" s="183" t="s">
        <v>72</v>
      </c>
      <c r="D900" s="184" t="s">
        <v>1482</v>
      </c>
      <c r="E900" s="184"/>
      <c r="F900" s="184"/>
      <c r="G900" s="184"/>
      <c r="H900" s="186">
        <v>-4970049</v>
      </c>
      <c r="I900" s="187"/>
      <c r="J900" s="2" t="s">
        <v>463</v>
      </c>
    </row>
    <row r="901" spans="1:10" s="199" customFormat="1" ht="15" hidden="1" outlineLevel="1">
      <c r="A901" s="225">
        <v>42661</v>
      </c>
      <c r="B901" s="218" t="s">
        <v>69</v>
      </c>
      <c r="C901" s="218" t="s">
        <v>72</v>
      </c>
      <c r="D901" s="216" t="s">
        <v>1225</v>
      </c>
      <c r="E901" s="216"/>
      <c r="F901" s="216"/>
      <c r="G901" s="216"/>
      <c r="H901" s="245">
        <v>0</v>
      </c>
      <c r="I901" s="230"/>
      <c r="J901" s="199" t="s">
        <v>717</v>
      </c>
    </row>
    <row r="902" spans="1:10" s="199" customFormat="1" ht="15" hidden="1" outlineLevel="1">
      <c r="A902" s="212">
        <v>42712</v>
      </c>
      <c r="B902" s="213" t="s">
        <v>69</v>
      </c>
      <c r="C902" s="213" t="s">
        <v>72</v>
      </c>
      <c r="D902" s="215" t="s">
        <v>1225</v>
      </c>
      <c r="E902" s="215"/>
      <c r="F902" s="215"/>
      <c r="G902" s="215"/>
      <c r="H902" s="239">
        <v>0</v>
      </c>
      <c r="I902" s="230"/>
      <c r="J902" s="199" t="s">
        <v>75</v>
      </c>
    </row>
    <row r="903" spans="1:9" s="2" customFormat="1" ht="15" collapsed="1">
      <c r="A903" s="188"/>
      <c r="B903" s="189"/>
      <c r="C903" s="189"/>
      <c r="D903" s="190"/>
      <c r="E903" s="190"/>
      <c r="F903" s="190"/>
      <c r="G903" s="195" t="s">
        <v>136</v>
      </c>
      <c r="H903" s="191">
        <f>SUM(H900:H902)</f>
        <v>-4970049</v>
      </c>
      <c r="I903" s="187"/>
    </row>
    <row r="904" spans="1:9" s="199" customFormat="1" ht="15" hidden="1" outlineLevel="1">
      <c r="A904" s="217"/>
      <c r="B904" s="240"/>
      <c r="C904" s="240"/>
      <c r="D904" s="226"/>
      <c r="E904" s="226"/>
      <c r="F904" s="226"/>
      <c r="G904" s="242"/>
      <c r="H904" s="237"/>
      <c r="I904" s="230"/>
    </row>
    <row r="905" spans="1:9" s="199" customFormat="1" ht="15" hidden="1" outlineLevel="1">
      <c r="A905" s="217">
        <v>42717</v>
      </c>
      <c r="B905" s="240" t="s">
        <v>69</v>
      </c>
      <c r="C905" s="240" t="s">
        <v>1326</v>
      </c>
      <c r="D905" s="226" t="s">
        <v>1415</v>
      </c>
      <c r="E905" s="226"/>
      <c r="F905" s="226"/>
      <c r="G905" s="242"/>
      <c r="H905" s="237">
        <v>0</v>
      </c>
      <c r="I905" s="230"/>
    </row>
    <row r="906" spans="1:9" s="199" customFormat="1" ht="15" hidden="1" outlineLevel="1">
      <c r="A906" s="217">
        <v>42389</v>
      </c>
      <c r="B906" s="240" t="s">
        <v>69</v>
      </c>
      <c r="C906" s="240" t="s">
        <v>1326</v>
      </c>
      <c r="D906" s="226" t="s">
        <v>1328</v>
      </c>
      <c r="E906" s="226"/>
      <c r="F906" s="226"/>
      <c r="G906" s="242"/>
      <c r="H906" s="237">
        <v>0</v>
      </c>
      <c r="I906" s="230"/>
    </row>
    <row r="907" spans="1:9" s="199" customFormat="1" ht="15" hidden="1" outlineLevel="1">
      <c r="A907" s="217">
        <v>42396</v>
      </c>
      <c r="B907" s="240" t="s">
        <v>69</v>
      </c>
      <c r="C907" s="240" t="s">
        <v>1326</v>
      </c>
      <c r="D907" s="226" t="s">
        <v>1327</v>
      </c>
      <c r="E907" s="226"/>
      <c r="F907" s="226"/>
      <c r="G907" s="242"/>
      <c r="H907" s="237">
        <v>0</v>
      </c>
      <c r="I907" s="230"/>
    </row>
    <row r="908" spans="1:9" s="199" customFormat="1" ht="15" hidden="1" outlineLevel="1">
      <c r="A908" s="217" t="s">
        <v>1278</v>
      </c>
      <c r="B908" s="240" t="s">
        <v>69</v>
      </c>
      <c r="C908" s="240" t="s">
        <v>1326</v>
      </c>
      <c r="D908" s="226" t="s">
        <v>1329</v>
      </c>
      <c r="E908" s="226"/>
      <c r="F908" s="226"/>
      <c r="G908" s="242"/>
      <c r="H908" s="237">
        <v>0</v>
      </c>
      <c r="I908" s="230"/>
    </row>
    <row r="909" spans="1:9" s="199" customFormat="1" ht="15" hidden="1" outlineLevel="1">
      <c r="A909" s="217" t="s">
        <v>1330</v>
      </c>
      <c r="B909" s="240" t="s">
        <v>69</v>
      </c>
      <c r="C909" s="240" t="s">
        <v>1326</v>
      </c>
      <c r="D909" s="226" t="s">
        <v>1331</v>
      </c>
      <c r="E909" s="226"/>
      <c r="F909" s="226"/>
      <c r="G909" s="242"/>
      <c r="H909" s="237">
        <v>0</v>
      </c>
      <c r="I909" s="230"/>
    </row>
    <row r="910" spans="1:9" s="199" customFormat="1" ht="15" hidden="1" outlineLevel="1">
      <c r="A910" s="217">
        <v>42475</v>
      </c>
      <c r="B910" s="240" t="s">
        <v>69</v>
      </c>
      <c r="C910" s="240" t="s">
        <v>1326</v>
      </c>
      <c r="D910" s="226" t="s">
        <v>1332</v>
      </c>
      <c r="E910" s="226"/>
      <c r="F910" s="226"/>
      <c r="G910" s="242"/>
      <c r="H910" s="237">
        <v>0</v>
      </c>
      <c r="I910" s="230"/>
    </row>
    <row r="911" spans="1:9" s="199" customFormat="1" ht="15" hidden="1" outlineLevel="1">
      <c r="A911" s="217" t="s">
        <v>1278</v>
      </c>
      <c r="B911" s="240" t="s">
        <v>69</v>
      </c>
      <c r="C911" s="240" t="s">
        <v>1326</v>
      </c>
      <c r="D911" s="226" t="s">
        <v>1333</v>
      </c>
      <c r="E911" s="226"/>
      <c r="F911" s="226"/>
      <c r="G911" s="242"/>
      <c r="H911" s="237">
        <v>0</v>
      </c>
      <c r="I911" s="230"/>
    </row>
    <row r="912" spans="1:9" s="199" customFormat="1" ht="15" hidden="1" outlineLevel="1">
      <c r="A912" s="212">
        <v>42633</v>
      </c>
      <c r="B912" s="213" t="s">
        <v>69</v>
      </c>
      <c r="C912" s="213" t="s">
        <v>1326</v>
      </c>
      <c r="D912" s="215" t="s">
        <v>1334</v>
      </c>
      <c r="E912" s="215"/>
      <c r="F912" s="215"/>
      <c r="G912" s="222"/>
      <c r="H912" s="239">
        <v>0</v>
      </c>
      <c r="I912" s="230"/>
    </row>
    <row r="913" spans="1:9" s="199" customFormat="1" ht="15" hidden="1" outlineLevel="1">
      <c r="A913" s="217"/>
      <c r="B913" s="240"/>
      <c r="C913" s="240"/>
      <c r="D913" s="226"/>
      <c r="E913" s="226"/>
      <c r="F913" s="226"/>
      <c r="G913" s="242" t="s">
        <v>712</v>
      </c>
      <c r="H913" s="237">
        <f>SUM(H905:H912)</f>
        <v>0</v>
      </c>
      <c r="I913" s="230"/>
    </row>
    <row r="914" spans="1:9" s="199" customFormat="1" ht="15" hidden="1" outlineLevel="1">
      <c r="A914" s="217"/>
      <c r="B914" s="240"/>
      <c r="C914" s="240"/>
      <c r="D914" s="226"/>
      <c r="E914" s="226"/>
      <c r="F914" s="226"/>
      <c r="G914" s="242"/>
      <c r="H914" s="237"/>
      <c r="I914" s="230"/>
    </row>
    <row r="915" spans="1:10" s="199" customFormat="1" ht="15" hidden="1" outlineLevel="1">
      <c r="A915" s="217">
        <v>42794</v>
      </c>
      <c r="B915" s="240" t="s">
        <v>69</v>
      </c>
      <c r="C915" s="240" t="s">
        <v>78</v>
      </c>
      <c r="D915" s="226" t="s">
        <v>1582</v>
      </c>
      <c r="E915" s="226"/>
      <c r="F915" s="226"/>
      <c r="G915" s="242"/>
      <c r="H915" s="237">
        <v>0</v>
      </c>
      <c r="I915" s="230"/>
      <c r="J915" s="199" t="s">
        <v>1573</v>
      </c>
    </row>
    <row r="916" spans="1:10" s="199" customFormat="1" ht="15" hidden="1" outlineLevel="1">
      <c r="A916" s="217">
        <v>42802</v>
      </c>
      <c r="B916" s="240" t="s">
        <v>69</v>
      </c>
      <c r="C916" s="240" t="s">
        <v>78</v>
      </c>
      <c r="D916" s="226" t="s">
        <v>1583</v>
      </c>
      <c r="E916" s="226"/>
      <c r="F916" s="226"/>
      <c r="G916" s="242"/>
      <c r="H916" s="237">
        <v>0</v>
      </c>
      <c r="I916" s="230"/>
      <c r="J916" s="199" t="s">
        <v>1573</v>
      </c>
    </row>
    <row r="917" spans="1:10" s="199" customFormat="1" ht="15" hidden="1" outlineLevel="1">
      <c r="A917" s="217">
        <v>42802</v>
      </c>
      <c r="B917" s="240" t="s">
        <v>69</v>
      </c>
      <c r="C917" s="240" t="s">
        <v>78</v>
      </c>
      <c r="D917" s="226" t="s">
        <v>1584</v>
      </c>
      <c r="E917" s="226"/>
      <c r="F917" s="226"/>
      <c r="G917" s="242"/>
      <c r="H917" s="237">
        <v>0</v>
      </c>
      <c r="I917" s="230"/>
      <c r="J917" s="199" t="s">
        <v>1573</v>
      </c>
    </row>
    <row r="918" spans="1:10" s="199" customFormat="1" ht="15" hidden="1" outlineLevel="1">
      <c r="A918" s="217">
        <v>42802</v>
      </c>
      <c r="B918" s="240" t="s">
        <v>69</v>
      </c>
      <c r="C918" s="240" t="s">
        <v>78</v>
      </c>
      <c r="D918" s="226" t="s">
        <v>1585</v>
      </c>
      <c r="E918" s="226"/>
      <c r="F918" s="226"/>
      <c r="G918" s="242"/>
      <c r="H918" s="237">
        <v>0</v>
      </c>
      <c r="I918" s="230"/>
      <c r="J918" s="199" t="s">
        <v>1587</v>
      </c>
    </row>
    <row r="919" spans="1:10" s="199" customFormat="1" ht="15" hidden="1" outlineLevel="1">
      <c r="A919" s="217">
        <v>42821</v>
      </c>
      <c r="B919" s="240" t="s">
        <v>69</v>
      </c>
      <c r="C919" s="240" t="s">
        <v>78</v>
      </c>
      <c r="D919" s="226" t="s">
        <v>1586</v>
      </c>
      <c r="E919" s="226"/>
      <c r="F919" s="226"/>
      <c r="G919" s="242"/>
      <c r="H919" s="237">
        <v>0</v>
      </c>
      <c r="I919" s="230"/>
      <c r="J919" s="199" t="s">
        <v>1573</v>
      </c>
    </row>
    <row r="920" spans="1:10" s="199" customFormat="1" ht="15" hidden="1" outlineLevel="1">
      <c r="A920" s="212">
        <v>42821</v>
      </c>
      <c r="B920" s="213" t="s">
        <v>69</v>
      </c>
      <c r="C920" s="213" t="s">
        <v>78</v>
      </c>
      <c r="D920" s="215" t="s">
        <v>1588</v>
      </c>
      <c r="E920" s="215"/>
      <c r="F920" s="215"/>
      <c r="G920" s="222"/>
      <c r="H920" s="239">
        <v>0</v>
      </c>
      <c r="I920" s="230"/>
      <c r="J920" s="199" t="s">
        <v>1573</v>
      </c>
    </row>
    <row r="921" spans="1:10" s="199" customFormat="1" ht="15" hidden="1" outlineLevel="1">
      <c r="A921" s="217">
        <v>42492</v>
      </c>
      <c r="B921" s="240" t="s">
        <v>69</v>
      </c>
      <c r="C921" s="240" t="s">
        <v>78</v>
      </c>
      <c r="D921" s="226" t="s">
        <v>1267</v>
      </c>
      <c r="E921" s="226"/>
      <c r="F921" s="226"/>
      <c r="G921" s="242"/>
      <c r="H921" s="237">
        <v>0</v>
      </c>
      <c r="I921" s="230"/>
      <c r="J921" s="199" t="s">
        <v>1266</v>
      </c>
    </row>
    <row r="922" spans="1:10" s="199" customFormat="1" ht="15" hidden="1" outlineLevel="1">
      <c r="A922" s="217">
        <v>42492</v>
      </c>
      <c r="B922" s="240" t="s">
        <v>69</v>
      </c>
      <c r="C922" s="240" t="s">
        <v>78</v>
      </c>
      <c r="D922" s="226" t="s">
        <v>1268</v>
      </c>
      <c r="E922" s="226"/>
      <c r="F922" s="226"/>
      <c r="G922" s="242"/>
      <c r="H922" s="237">
        <v>0</v>
      </c>
      <c r="I922" s="230"/>
      <c r="J922" s="199" t="s">
        <v>1266</v>
      </c>
    </row>
    <row r="923" spans="1:10" s="199" customFormat="1" ht="15" hidden="1" outlineLevel="1">
      <c r="A923" s="217">
        <v>42492</v>
      </c>
      <c r="B923" s="240" t="s">
        <v>69</v>
      </c>
      <c r="C923" s="240" t="s">
        <v>78</v>
      </c>
      <c r="D923" s="226" t="s">
        <v>1269</v>
      </c>
      <c r="E923" s="226"/>
      <c r="F923" s="226"/>
      <c r="G923" s="242"/>
      <c r="H923" s="237">
        <v>0</v>
      </c>
      <c r="I923" s="230"/>
      <c r="J923" s="199" t="s">
        <v>1266</v>
      </c>
    </row>
    <row r="924" spans="1:10" s="199" customFormat="1" ht="15" hidden="1" outlineLevel="1">
      <c r="A924" s="217">
        <v>42521</v>
      </c>
      <c r="B924" s="240" t="s">
        <v>69</v>
      </c>
      <c r="C924" s="240" t="s">
        <v>78</v>
      </c>
      <c r="D924" s="226" t="s">
        <v>1270</v>
      </c>
      <c r="E924" s="226"/>
      <c r="F924" s="226"/>
      <c r="G924" s="242"/>
      <c r="H924" s="237">
        <v>0</v>
      </c>
      <c r="I924" s="230"/>
      <c r="J924" s="199" t="s">
        <v>1271</v>
      </c>
    </row>
    <row r="925" spans="1:10" s="199" customFormat="1" ht="15" hidden="1" outlineLevel="1">
      <c r="A925" s="217">
        <v>42576</v>
      </c>
      <c r="B925" s="240" t="s">
        <v>69</v>
      </c>
      <c r="C925" s="240" t="s">
        <v>78</v>
      </c>
      <c r="D925" s="226" t="s">
        <v>1272</v>
      </c>
      <c r="E925" s="226"/>
      <c r="F925" s="226"/>
      <c r="G925" s="242"/>
      <c r="H925" s="237">
        <v>0</v>
      </c>
      <c r="I925" s="230"/>
      <c r="J925" s="199" t="s">
        <v>1273</v>
      </c>
    </row>
    <row r="926" spans="1:10" s="199" customFormat="1" ht="15" hidden="1" outlineLevel="1">
      <c r="A926" s="217">
        <v>42597</v>
      </c>
      <c r="B926" s="240" t="s">
        <v>69</v>
      </c>
      <c r="C926" s="240" t="s">
        <v>78</v>
      </c>
      <c r="D926" s="226" t="s">
        <v>1274</v>
      </c>
      <c r="E926" s="226"/>
      <c r="F926" s="226"/>
      <c r="G926" s="242"/>
      <c r="H926" s="237">
        <v>0</v>
      </c>
      <c r="I926" s="230"/>
      <c r="J926" s="199" t="s">
        <v>1275</v>
      </c>
    </row>
    <row r="927" spans="1:10" s="199" customFormat="1" ht="15" hidden="1" outlineLevel="1">
      <c r="A927" s="217">
        <v>42597</v>
      </c>
      <c r="B927" s="240" t="s">
        <v>69</v>
      </c>
      <c r="C927" s="240" t="s">
        <v>78</v>
      </c>
      <c r="D927" s="226" t="s">
        <v>1276</v>
      </c>
      <c r="E927" s="226"/>
      <c r="F927" s="226"/>
      <c r="G927" s="242"/>
      <c r="H927" s="237">
        <v>0</v>
      </c>
      <c r="I927" s="230"/>
      <c r="J927" s="199" t="s">
        <v>1275</v>
      </c>
    </row>
    <row r="928" spans="1:10" s="199" customFormat="1" ht="15" hidden="1" outlineLevel="1">
      <c r="A928" s="217">
        <v>42597</v>
      </c>
      <c r="B928" s="240" t="s">
        <v>69</v>
      </c>
      <c r="C928" s="240" t="s">
        <v>78</v>
      </c>
      <c r="D928" s="226" t="s">
        <v>1277</v>
      </c>
      <c r="E928" s="226"/>
      <c r="F928" s="226"/>
      <c r="G928" s="242"/>
      <c r="H928" s="237">
        <v>0</v>
      </c>
      <c r="I928" s="230"/>
      <c r="J928" s="199" t="s">
        <v>1275</v>
      </c>
    </row>
    <row r="929" spans="1:10" s="199" customFormat="1" ht="15" hidden="1" outlineLevel="1">
      <c r="A929" s="217" t="s">
        <v>1278</v>
      </c>
      <c r="B929" s="240" t="s">
        <v>69</v>
      </c>
      <c r="C929" s="240" t="s">
        <v>78</v>
      </c>
      <c r="D929" s="226" t="s">
        <v>1279</v>
      </c>
      <c r="E929" s="226"/>
      <c r="F929" s="226"/>
      <c r="G929" s="242"/>
      <c r="H929" s="237">
        <v>0</v>
      </c>
      <c r="I929" s="230"/>
      <c r="J929" s="199" t="s">
        <v>1271</v>
      </c>
    </row>
    <row r="930" spans="1:10" s="199" customFormat="1" ht="15" hidden="1" outlineLevel="1">
      <c r="A930" s="217" t="s">
        <v>1278</v>
      </c>
      <c r="B930" s="240" t="s">
        <v>69</v>
      </c>
      <c r="C930" s="240" t="s">
        <v>78</v>
      </c>
      <c r="D930" s="226" t="s">
        <v>1280</v>
      </c>
      <c r="E930" s="226"/>
      <c r="F930" s="226"/>
      <c r="G930" s="242"/>
      <c r="H930" s="237">
        <v>0</v>
      </c>
      <c r="I930" s="230"/>
      <c r="J930" s="199" t="s">
        <v>1271</v>
      </c>
    </row>
    <row r="931" spans="1:10" s="199" customFormat="1" ht="15" hidden="1" outlineLevel="1">
      <c r="A931" s="217" t="s">
        <v>1278</v>
      </c>
      <c r="B931" s="240" t="s">
        <v>69</v>
      </c>
      <c r="C931" s="240" t="s">
        <v>78</v>
      </c>
      <c r="D931" s="226" t="s">
        <v>1281</v>
      </c>
      <c r="E931" s="226"/>
      <c r="F931" s="226"/>
      <c r="G931" s="242"/>
      <c r="H931" s="237">
        <v>0</v>
      </c>
      <c r="I931" s="230"/>
      <c r="J931" s="199" t="s">
        <v>1271</v>
      </c>
    </row>
    <row r="932" spans="1:10" s="199" customFormat="1" ht="15" hidden="1" outlineLevel="1">
      <c r="A932" s="217">
        <v>42600</v>
      </c>
      <c r="B932" s="240" t="s">
        <v>69</v>
      </c>
      <c r="C932" s="240" t="s">
        <v>78</v>
      </c>
      <c r="D932" s="226" t="s">
        <v>1211</v>
      </c>
      <c r="E932" s="226"/>
      <c r="F932" s="226"/>
      <c r="G932" s="242"/>
      <c r="H932" s="237">
        <v>0</v>
      </c>
      <c r="I932" s="230"/>
      <c r="J932" s="199" t="s">
        <v>969</v>
      </c>
    </row>
    <row r="933" spans="1:10" s="199" customFormat="1" ht="15" hidden="1" outlineLevel="1">
      <c r="A933" s="225">
        <v>42600</v>
      </c>
      <c r="B933" s="218" t="s">
        <v>69</v>
      </c>
      <c r="C933" s="218" t="s">
        <v>78</v>
      </c>
      <c r="D933" s="216" t="s">
        <v>1212</v>
      </c>
      <c r="E933" s="216"/>
      <c r="F933" s="216"/>
      <c r="G933" s="216"/>
      <c r="H933" s="245">
        <v>0</v>
      </c>
      <c r="I933" s="230"/>
      <c r="J933" s="199" t="s">
        <v>969</v>
      </c>
    </row>
    <row r="934" spans="1:10" s="199" customFormat="1" ht="15" hidden="1" outlineLevel="1">
      <c r="A934" s="225">
        <v>42614</v>
      </c>
      <c r="B934" s="218" t="s">
        <v>69</v>
      </c>
      <c r="C934" s="218" t="s">
        <v>78</v>
      </c>
      <c r="D934" s="216" t="s">
        <v>1215</v>
      </c>
      <c r="E934" s="216"/>
      <c r="F934" s="216"/>
      <c r="G934" s="216"/>
      <c r="H934" s="245">
        <v>0</v>
      </c>
      <c r="I934" s="230"/>
      <c r="J934" s="199" t="s">
        <v>109</v>
      </c>
    </row>
    <row r="935" spans="1:10" s="199" customFormat="1" ht="15" hidden="1" outlineLevel="1">
      <c r="A935" s="225">
        <v>42614</v>
      </c>
      <c r="B935" s="218" t="s">
        <v>69</v>
      </c>
      <c r="C935" s="218" t="s">
        <v>78</v>
      </c>
      <c r="D935" s="216" t="s">
        <v>1216</v>
      </c>
      <c r="E935" s="216"/>
      <c r="F935" s="216"/>
      <c r="G935" s="216"/>
      <c r="H935" s="245">
        <v>0</v>
      </c>
      <c r="I935" s="230"/>
      <c r="J935" s="199" t="s">
        <v>109</v>
      </c>
    </row>
    <row r="936" spans="1:10" s="199" customFormat="1" ht="15" hidden="1" outlineLevel="1">
      <c r="A936" s="225">
        <v>42642</v>
      </c>
      <c r="B936" s="218" t="s">
        <v>69</v>
      </c>
      <c r="C936" s="218" t="s">
        <v>78</v>
      </c>
      <c r="D936" s="216" t="s">
        <v>1218</v>
      </c>
      <c r="E936" s="216"/>
      <c r="F936" s="216"/>
      <c r="G936" s="216"/>
      <c r="H936" s="245">
        <v>0</v>
      </c>
      <c r="I936" s="230"/>
      <c r="J936" s="199" t="s">
        <v>67</v>
      </c>
    </row>
    <row r="937" spans="1:10" s="199" customFormat="1" ht="15" hidden="1" outlineLevel="1">
      <c r="A937" s="225">
        <v>42698</v>
      </c>
      <c r="B937" s="218" t="s">
        <v>69</v>
      </c>
      <c r="C937" s="218" t="s">
        <v>78</v>
      </c>
      <c r="D937" s="216" t="s">
        <v>1282</v>
      </c>
      <c r="E937" s="216"/>
      <c r="F937" s="216"/>
      <c r="G937" s="216"/>
      <c r="H937" s="245">
        <v>0</v>
      </c>
      <c r="I937" s="230"/>
      <c r="J937" s="199" t="s">
        <v>90</v>
      </c>
    </row>
    <row r="938" spans="1:10" s="199" customFormat="1" ht="15" hidden="1" outlineLevel="1">
      <c r="A938" s="225">
        <v>42711</v>
      </c>
      <c r="B938" s="218" t="s">
        <v>69</v>
      </c>
      <c r="C938" s="218" t="s">
        <v>78</v>
      </c>
      <c r="D938" s="216" t="s">
        <v>1345</v>
      </c>
      <c r="E938" s="216"/>
      <c r="F938" s="216"/>
      <c r="G938" s="216"/>
      <c r="H938" s="245">
        <v>0</v>
      </c>
      <c r="I938" s="230"/>
      <c r="J938" s="199" t="s">
        <v>1271</v>
      </c>
    </row>
    <row r="939" spans="1:10" s="199" customFormat="1" ht="15" hidden="1" outlineLevel="1">
      <c r="A939" s="212">
        <v>42717</v>
      </c>
      <c r="B939" s="213" t="s">
        <v>69</v>
      </c>
      <c r="C939" s="213" t="s">
        <v>78</v>
      </c>
      <c r="D939" s="215" t="s">
        <v>1348</v>
      </c>
      <c r="E939" s="215"/>
      <c r="F939" s="215"/>
      <c r="G939" s="215"/>
      <c r="H939" s="239">
        <v>0</v>
      </c>
      <c r="I939" s="230"/>
      <c r="J939" s="199" t="s">
        <v>1349</v>
      </c>
    </row>
    <row r="940" spans="1:9" s="199" customFormat="1" ht="15" hidden="1" outlineLevel="1">
      <c r="A940" s="217"/>
      <c r="B940" s="240"/>
      <c r="C940" s="240"/>
      <c r="D940" s="226"/>
      <c r="E940" s="226"/>
      <c r="F940" s="226"/>
      <c r="G940" s="242" t="s">
        <v>712</v>
      </c>
      <c r="H940" s="237">
        <f>SUM(H915:H939)</f>
        <v>0</v>
      </c>
      <c r="I940" s="230"/>
    </row>
    <row r="941" spans="1:9" s="2" customFormat="1" ht="15" collapsed="1">
      <c r="A941" s="188"/>
      <c r="B941" s="189"/>
      <c r="C941" s="189"/>
      <c r="D941" s="190"/>
      <c r="E941" s="190"/>
      <c r="F941" s="190"/>
      <c r="G941" s="195"/>
      <c r="H941" s="191"/>
      <c r="I941" s="187"/>
    </row>
    <row r="942" spans="1:10" s="2" customFormat="1" ht="15">
      <c r="A942" s="188">
        <v>42929</v>
      </c>
      <c r="B942" s="189" t="s">
        <v>69</v>
      </c>
      <c r="C942" s="189" t="s">
        <v>87</v>
      </c>
      <c r="D942" s="190" t="s">
        <v>1690</v>
      </c>
      <c r="E942" s="190"/>
      <c r="F942" s="190"/>
      <c r="G942" s="195"/>
      <c r="H942" s="191">
        <v>-2300000</v>
      </c>
      <c r="I942" s="187"/>
      <c r="J942" s="2" t="s">
        <v>1628</v>
      </c>
    </row>
    <row r="943" spans="1:10" s="2" customFormat="1" ht="15">
      <c r="A943" s="182">
        <v>42851</v>
      </c>
      <c r="B943" s="183" t="s">
        <v>69</v>
      </c>
      <c r="C943" s="183" t="s">
        <v>87</v>
      </c>
      <c r="D943" s="184" t="s">
        <v>1701</v>
      </c>
      <c r="E943" s="184"/>
      <c r="F943" s="184"/>
      <c r="G943" s="184"/>
      <c r="H943" s="186">
        <v>-912000</v>
      </c>
      <c r="I943" s="187"/>
      <c r="J943" s="2" t="s">
        <v>85</v>
      </c>
    </row>
    <row r="944" spans="1:10" s="199" customFormat="1" ht="15" hidden="1" outlineLevel="1">
      <c r="A944" s="225">
        <v>42684</v>
      </c>
      <c r="B944" s="218" t="s">
        <v>69</v>
      </c>
      <c r="C944" s="218" t="s">
        <v>87</v>
      </c>
      <c r="D944" s="216" t="s">
        <v>1233</v>
      </c>
      <c r="E944" s="216"/>
      <c r="F944" s="216"/>
      <c r="G944" s="216"/>
      <c r="H944" s="245">
        <v>0</v>
      </c>
      <c r="I944" s="230"/>
      <c r="J944" s="199" t="s">
        <v>86</v>
      </c>
    </row>
    <row r="945" spans="1:10" s="199" customFormat="1" ht="15" hidden="1" outlineLevel="1">
      <c r="A945" s="225">
        <v>42717</v>
      </c>
      <c r="B945" s="218" t="s">
        <v>69</v>
      </c>
      <c r="C945" s="218" t="s">
        <v>87</v>
      </c>
      <c r="D945" s="216" t="s">
        <v>1350</v>
      </c>
      <c r="E945" s="216"/>
      <c r="F945" s="216"/>
      <c r="G945" s="216"/>
      <c r="H945" s="245">
        <v>0</v>
      </c>
      <c r="I945" s="230"/>
      <c r="J945" s="199" t="s">
        <v>1349</v>
      </c>
    </row>
    <row r="946" spans="1:10" s="199" customFormat="1" ht="15" hidden="1" outlineLevel="1">
      <c r="A946" s="212">
        <v>42717</v>
      </c>
      <c r="B946" s="213" t="s">
        <v>69</v>
      </c>
      <c r="C946" s="213" t="s">
        <v>87</v>
      </c>
      <c r="D946" s="215" t="s">
        <v>1351</v>
      </c>
      <c r="E946" s="215"/>
      <c r="F946" s="215"/>
      <c r="G946" s="215"/>
      <c r="H946" s="239">
        <v>0</v>
      </c>
      <c r="I946" s="230"/>
      <c r="J946" s="199" t="s">
        <v>1349</v>
      </c>
    </row>
    <row r="947" spans="1:9" s="2" customFormat="1" ht="15" collapsed="1">
      <c r="A947" s="188"/>
      <c r="B947" s="189"/>
      <c r="C947" s="189"/>
      <c r="D947" s="190"/>
      <c r="E947" s="190"/>
      <c r="F947" s="190"/>
      <c r="G947" s="195" t="s">
        <v>951</v>
      </c>
      <c r="H947" s="191">
        <f>SUM(H942:H946)</f>
        <v>-3212000</v>
      </c>
      <c r="I947" s="187"/>
    </row>
    <row r="948" spans="1:9" s="199" customFormat="1" ht="15" hidden="1" outlineLevel="1">
      <c r="A948" s="217"/>
      <c r="B948" s="240"/>
      <c r="C948" s="240"/>
      <c r="D948" s="226"/>
      <c r="E948" s="226"/>
      <c r="F948" s="226"/>
      <c r="G948" s="242"/>
      <c r="H948" s="237"/>
      <c r="I948" s="230"/>
    </row>
    <row r="949" spans="1:10" s="199" customFormat="1" ht="15" hidden="1" outlineLevel="1">
      <c r="A949" s="212">
        <v>42005</v>
      </c>
      <c r="B949" s="213" t="s">
        <v>69</v>
      </c>
      <c r="C949" s="213" t="s">
        <v>491</v>
      </c>
      <c r="D949" s="215" t="s">
        <v>949</v>
      </c>
      <c r="E949" s="215"/>
      <c r="F949" s="215"/>
      <c r="G949" s="215"/>
      <c r="H949" s="239">
        <v>0</v>
      </c>
      <c r="I949" s="230"/>
      <c r="J949" s="199" t="s">
        <v>824</v>
      </c>
    </row>
    <row r="950" spans="1:9" s="199" customFormat="1" ht="15" hidden="1" outlineLevel="1">
      <c r="A950" s="217"/>
      <c r="B950" s="240"/>
      <c r="C950" s="240"/>
      <c r="D950" s="226"/>
      <c r="E950" s="226"/>
      <c r="F950" s="226"/>
      <c r="G950" s="242" t="s">
        <v>951</v>
      </c>
      <c r="H950" s="237">
        <f>SUM(H949)</f>
        <v>0</v>
      </c>
      <c r="I950" s="230"/>
    </row>
    <row r="951" spans="1:9" s="2" customFormat="1" ht="15" collapsed="1">
      <c r="A951" s="188"/>
      <c r="B951" s="189"/>
      <c r="C951" s="189"/>
      <c r="D951" s="190"/>
      <c r="E951" s="190"/>
      <c r="F951" s="190"/>
      <c r="G951" s="190"/>
      <c r="H951" s="191"/>
      <c r="I951" s="187"/>
    </row>
    <row r="952" spans="1:10" s="2" customFormat="1" ht="15">
      <c r="A952" s="188">
        <v>42881</v>
      </c>
      <c r="B952" s="189" t="s">
        <v>69</v>
      </c>
      <c r="C952" s="189" t="s">
        <v>70</v>
      </c>
      <c r="D952" s="190" t="s">
        <v>1599</v>
      </c>
      <c r="E952" s="190"/>
      <c r="F952" s="190"/>
      <c r="G952" s="190"/>
      <c r="H952" s="191">
        <v>-1440000</v>
      </c>
      <c r="I952" s="187"/>
      <c r="J952" s="2" t="s">
        <v>103</v>
      </c>
    </row>
    <row r="953" spans="1:10" s="178" customFormat="1" ht="15">
      <c r="A953" s="261">
        <v>42901</v>
      </c>
      <c r="B953" s="262" t="s">
        <v>69</v>
      </c>
      <c r="C953" s="262" t="s">
        <v>70</v>
      </c>
      <c r="D953" s="193" t="s">
        <v>1611</v>
      </c>
      <c r="E953" s="193"/>
      <c r="F953" s="193"/>
      <c r="G953" s="193"/>
      <c r="H953" s="263">
        <v>-1500000</v>
      </c>
      <c r="I953" s="264"/>
      <c r="J953" s="178" t="s">
        <v>969</v>
      </c>
    </row>
    <row r="954" spans="1:10" s="178" customFormat="1" ht="15">
      <c r="A954" s="261">
        <v>42901</v>
      </c>
      <c r="B954" s="262" t="s">
        <v>69</v>
      </c>
      <c r="C954" s="262" t="s">
        <v>70</v>
      </c>
      <c r="D954" s="193" t="s">
        <v>1613</v>
      </c>
      <c r="E954" s="193"/>
      <c r="F954" s="193"/>
      <c r="G954" s="193"/>
      <c r="H954" s="263">
        <v>-300000</v>
      </c>
      <c r="I954" s="264"/>
      <c r="J954" s="178" t="s">
        <v>103</v>
      </c>
    </row>
    <row r="955" spans="1:10" s="178" customFormat="1" ht="15">
      <c r="A955" s="261">
        <v>42915</v>
      </c>
      <c r="B955" s="262" t="s">
        <v>69</v>
      </c>
      <c r="C955" s="262" t="s">
        <v>70</v>
      </c>
      <c r="D955" s="193" t="s">
        <v>1619</v>
      </c>
      <c r="E955" s="193"/>
      <c r="F955" s="193"/>
      <c r="G955" s="193"/>
      <c r="H955" s="263">
        <v>-2148000</v>
      </c>
      <c r="I955" s="264"/>
      <c r="J955" s="178" t="s">
        <v>86</v>
      </c>
    </row>
    <row r="956" spans="1:10" s="2" customFormat="1" ht="15">
      <c r="A956" s="261">
        <v>42915</v>
      </c>
      <c r="B956" s="262" t="s">
        <v>69</v>
      </c>
      <c r="C956" s="262" t="s">
        <v>70</v>
      </c>
      <c r="D956" s="193" t="s">
        <v>1621</v>
      </c>
      <c r="E956" s="193"/>
      <c r="F956" s="193"/>
      <c r="G956" s="193"/>
      <c r="H956" s="263">
        <v>-2000000</v>
      </c>
      <c r="I956" s="187"/>
      <c r="J956" s="2" t="s">
        <v>969</v>
      </c>
    </row>
    <row r="957" spans="1:10" s="2" customFormat="1" ht="15">
      <c r="A957" s="261">
        <v>42915</v>
      </c>
      <c r="B957" s="262" t="s">
        <v>69</v>
      </c>
      <c r="C957" s="262" t="s">
        <v>70</v>
      </c>
      <c r="D957" s="193" t="s">
        <v>1623</v>
      </c>
      <c r="E957" s="193"/>
      <c r="F957" s="193"/>
      <c r="G957" s="193"/>
      <c r="H957" s="263">
        <v>-500000</v>
      </c>
      <c r="I957" s="187"/>
      <c r="J957" s="2" t="s">
        <v>473</v>
      </c>
    </row>
    <row r="958" spans="1:10" s="2" customFormat="1" ht="15">
      <c r="A958" s="261">
        <v>42796</v>
      </c>
      <c r="B958" s="262" t="s">
        <v>69</v>
      </c>
      <c r="C958" s="262" t="s">
        <v>70</v>
      </c>
      <c r="D958" s="193" t="s">
        <v>1624</v>
      </c>
      <c r="E958" s="193"/>
      <c r="F958" s="193"/>
      <c r="G958" s="193"/>
      <c r="H958" s="263">
        <v>-954000</v>
      </c>
      <c r="I958" s="187"/>
      <c r="J958" s="2" t="s">
        <v>73</v>
      </c>
    </row>
    <row r="959" spans="1:10" s="2" customFormat="1" ht="15">
      <c r="A959" s="261">
        <v>42796</v>
      </c>
      <c r="B959" s="262" t="s">
        <v>69</v>
      </c>
      <c r="C959" s="262" t="s">
        <v>70</v>
      </c>
      <c r="D959" s="193" t="s">
        <v>1625</v>
      </c>
      <c r="E959" s="193"/>
      <c r="F959" s="193"/>
      <c r="G959" s="193"/>
      <c r="H959" s="263">
        <v>-1400000</v>
      </c>
      <c r="I959" s="187"/>
      <c r="J959" s="2" t="s">
        <v>749</v>
      </c>
    </row>
    <row r="960" spans="1:10" s="2" customFormat="1" ht="15">
      <c r="A960" s="261">
        <v>42796</v>
      </c>
      <c r="B960" s="262" t="s">
        <v>69</v>
      </c>
      <c r="C960" s="262" t="s">
        <v>70</v>
      </c>
      <c r="D960" s="193" t="s">
        <v>1630</v>
      </c>
      <c r="E960" s="193"/>
      <c r="F960" s="193"/>
      <c r="G960" s="193"/>
      <c r="H960" s="263">
        <v>-1500000</v>
      </c>
      <c r="I960" s="187"/>
      <c r="J960" s="2" t="s">
        <v>1628</v>
      </c>
    </row>
    <row r="961" spans="1:10" s="2" customFormat="1" ht="15">
      <c r="A961" s="261">
        <v>42929</v>
      </c>
      <c r="B961" s="262" t="s">
        <v>69</v>
      </c>
      <c r="C961" s="262" t="s">
        <v>70</v>
      </c>
      <c r="D961" s="193" t="s">
        <v>1680</v>
      </c>
      <c r="E961" s="193"/>
      <c r="F961" s="193"/>
      <c r="G961" s="193"/>
      <c r="H961" s="263">
        <v>-250000</v>
      </c>
      <c r="I961" s="187"/>
      <c r="J961" s="2" t="s">
        <v>90</v>
      </c>
    </row>
    <row r="962" spans="1:10" s="2" customFormat="1" ht="15">
      <c r="A962" s="261">
        <v>42929</v>
      </c>
      <c r="B962" s="262" t="s">
        <v>69</v>
      </c>
      <c r="C962" s="262" t="s">
        <v>70</v>
      </c>
      <c r="D962" s="193" t="s">
        <v>1683</v>
      </c>
      <c r="E962" s="193"/>
      <c r="F962" s="193"/>
      <c r="G962" s="193"/>
      <c r="H962" s="263">
        <v>-1000000</v>
      </c>
      <c r="I962" s="187"/>
      <c r="J962" s="2" t="s">
        <v>73</v>
      </c>
    </row>
    <row r="963" spans="1:10" s="2" customFormat="1" ht="15">
      <c r="A963" s="182">
        <v>42943</v>
      </c>
      <c r="B963" s="183" t="s">
        <v>69</v>
      </c>
      <c r="C963" s="183" t="s">
        <v>70</v>
      </c>
      <c r="D963" s="184" t="s">
        <v>1695</v>
      </c>
      <c r="E963" s="184"/>
      <c r="F963" s="184"/>
      <c r="G963" s="184"/>
      <c r="H963" s="186">
        <v>-2000000</v>
      </c>
      <c r="I963" s="187"/>
      <c r="J963" s="2" t="s">
        <v>104</v>
      </c>
    </row>
    <row r="964" spans="1:10" s="1" customFormat="1" ht="15">
      <c r="A964" s="174"/>
      <c r="B964" s="175"/>
      <c r="C964" s="175"/>
      <c r="D964" s="176"/>
      <c r="E964" s="176"/>
      <c r="F964" s="176"/>
      <c r="G964" s="201" t="s">
        <v>137</v>
      </c>
      <c r="H964" s="177">
        <f>SUM(H952:H963)</f>
        <v>-14992000</v>
      </c>
      <c r="I964" s="172"/>
      <c r="J964" s="260"/>
    </row>
    <row r="965" spans="1:10" s="1" customFormat="1" ht="15">
      <c r="A965" s="174"/>
      <c r="B965" s="175"/>
      <c r="C965" s="175"/>
      <c r="D965" s="176"/>
      <c r="E965" s="176"/>
      <c r="F965" s="176"/>
      <c r="G965" s="201"/>
      <c r="H965" s="177"/>
      <c r="I965" s="172"/>
      <c r="J965" s="260"/>
    </row>
    <row r="966" spans="1:10" s="2" customFormat="1" ht="15" collapsed="1">
      <c r="A966" s="261">
        <v>42929</v>
      </c>
      <c r="B966" s="262" t="s">
        <v>69</v>
      </c>
      <c r="C966" s="262" t="s">
        <v>672</v>
      </c>
      <c r="D966" s="193" t="s">
        <v>1686</v>
      </c>
      <c r="E966" s="193"/>
      <c r="F966" s="193"/>
      <c r="G966" s="193"/>
      <c r="H966" s="263">
        <v>-250000</v>
      </c>
      <c r="I966" s="187"/>
      <c r="J966" s="2" t="s">
        <v>749</v>
      </c>
    </row>
    <row r="967" spans="1:10" s="199" customFormat="1" ht="15" hidden="1" outlineLevel="1">
      <c r="A967" s="212">
        <v>42661</v>
      </c>
      <c r="B967" s="213" t="s">
        <v>69</v>
      </c>
      <c r="C967" s="213" t="s">
        <v>672</v>
      </c>
      <c r="D967" s="215" t="s">
        <v>1229</v>
      </c>
      <c r="E967" s="215"/>
      <c r="F967" s="215"/>
      <c r="G967" s="215"/>
      <c r="H967" s="239">
        <v>0</v>
      </c>
      <c r="I967" s="230"/>
      <c r="J967" s="199" t="s">
        <v>73</v>
      </c>
    </row>
    <row r="968" spans="1:9" s="2" customFormat="1" ht="15" collapsed="1">
      <c r="A968" s="188"/>
      <c r="B968" s="189"/>
      <c r="C968" s="189"/>
      <c r="D968" s="190"/>
      <c r="E968" s="190"/>
      <c r="F968" s="190"/>
      <c r="G968" s="195" t="s">
        <v>673</v>
      </c>
      <c r="H968" s="191">
        <f>SUM(H966:H967)</f>
        <v>-250000</v>
      </c>
      <c r="I968" s="187"/>
    </row>
    <row r="969" spans="1:10" ht="15" hidden="1" outlineLevel="1">
      <c r="A969" s="231"/>
      <c r="B969" s="204"/>
      <c r="C969" s="204"/>
      <c r="D969" s="203"/>
      <c r="E969" s="203"/>
      <c r="F969" s="203"/>
      <c r="G969" s="207"/>
      <c r="H969" s="208"/>
      <c r="I969" s="210"/>
      <c r="J969" s="238"/>
    </row>
    <row r="970" spans="1:10" ht="15" hidden="1" outlineLevel="1">
      <c r="A970" s="234">
        <v>42761</v>
      </c>
      <c r="B970" s="205" t="s">
        <v>69</v>
      </c>
      <c r="C970" s="205" t="s">
        <v>89</v>
      </c>
      <c r="D970" s="202" t="s">
        <v>1512</v>
      </c>
      <c r="E970" s="202"/>
      <c r="F970" s="202"/>
      <c r="G970" s="202"/>
      <c r="H970" s="206">
        <v>0</v>
      </c>
      <c r="I970" s="210"/>
      <c r="J970" s="199" t="s">
        <v>473</v>
      </c>
    </row>
    <row r="971" spans="1:10" ht="15" hidden="1" outlineLevel="1">
      <c r="A971" s="231"/>
      <c r="B971" s="204"/>
      <c r="C971" s="204"/>
      <c r="D971" s="203"/>
      <c r="E971" s="203"/>
      <c r="F971" s="203"/>
      <c r="G971" s="207" t="s">
        <v>138</v>
      </c>
      <c r="H971" s="208">
        <f>SUM(H970:H970)</f>
        <v>0</v>
      </c>
      <c r="I971" s="210"/>
      <c r="J971" s="238"/>
    </row>
    <row r="972" spans="1:10" s="1" customFormat="1" ht="15" collapsed="1">
      <c r="A972" s="174"/>
      <c r="B972" s="175"/>
      <c r="C972" s="175"/>
      <c r="D972" s="176"/>
      <c r="E972" s="176"/>
      <c r="F972" s="176"/>
      <c r="G972" s="201"/>
      <c r="H972" s="177"/>
      <c r="I972" s="172"/>
      <c r="J972" s="260"/>
    </row>
    <row r="973" spans="1:10" s="1" customFormat="1" ht="15">
      <c r="A973" s="174"/>
      <c r="B973" s="175"/>
      <c r="C973" s="175"/>
      <c r="D973" s="176"/>
      <c r="E973" s="176"/>
      <c r="F973" s="176"/>
      <c r="G973" s="201" t="s">
        <v>1143</v>
      </c>
      <c r="H973" s="277">
        <f>H903+H913+H940+H947+H950+H964+H968+H971</f>
        <v>-23424049</v>
      </c>
      <c r="I973" s="172"/>
      <c r="J973" s="260"/>
    </row>
    <row r="974" spans="1:9" s="1" customFormat="1" ht="15">
      <c r="A974" s="174"/>
      <c r="B974" s="175"/>
      <c r="C974" s="175"/>
      <c r="D974" s="176"/>
      <c r="E974" s="176"/>
      <c r="F974" s="176"/>
      <c r="G974" s="176"/>
      <c r="H974" s="177"/>
      <c r="I974" s="172"/>
    </row>
    <row r="975" spans="1:9" s="1" customFormat="1" ht="15">
      <c r="A975" s="289" t="s">
        <v>55</v>
      </c>
      <c r="B975" s="267"/>
      <c r="C975" s="267"/>
      <c r="D975" s="268"/>
      <c r="E975" s="268"/>
      <c r="F975" s="268"/>
      <c r="G975" s="268"/>
      <c r="H975" s="269"/>
      <c r="I975" s="179"/>
    </row>
    <row r="976" spans="1:10" s="2" customFormat="1" ht="15">
      <c r="A976" s="182">
        <v>42901</v>
      </c>
      <c r="B976" s="183" t="s">
        <v>79</v>
      </c>
      <c r="C976" s="183" t="s">
        <v>74</v>
      </c>
      <c r="D976" s="184" t="s">
        <v>1612</v>
      </c>
      <c r="E976" s="184"/>
      <c r="F976" s="184"/>
      <c r="G976" s="184"/>
      <c r="H976" s="186">
        <v>300000</v>
      </c>
      <c r="I976" s="187"/>
      <c r="J976" s="2" t="s">
        <v>103</v>
      </c>
    </row>
    <row r="977" spans="1:9" s="2" customFormat="1" ht="15">
      <c r="A977" s="188"/>
      <c r="B977" s="189"/>
      <c r="C977" s="189"/>
      <c r="D977" s="190"/>
      <c r="E977" s="190"/>
      <c r="F977" s="190"/>
      <c r="G977" s="195" t="s">
        <v>139</v>
      </c>
      <c r="H977" s="191">
        <f>SUM(H976:H976)</f>
        <v>300000</v>
      </c>
      <c r="I977" s="187"/>
    </row>
    <row r="978" spans="1:9" s="2" customFormat="1" ht="15">
      <c r="A978" s="188"/>
      <c r="B978" s="189"/>
      <c r="C978" s="189"/>
      <c r="D978" s="190"/>
      <c r="E978" s="190"/>
      <c r="F978" s="190"/>
      <c r="G978" s="195"/>
      <c r="H978" s="191"/>
      <c r="I978" s="187"/>
    </row>
    <row r="979" spans="1:10" s="2" customFormat="1" ht="15">
      <c r="A979" s="182">
        <v>42736</v>
      </c>
      <c r="B979" s="183" t="s">
        <v>79</v>
      </c>
      <c r="C979" s="183" t="s">
        <v>182</v>
      </c>
      <c r="D979" s="184" t="s">
        <v>263</v>
      </c>
      <c r="E979" s="184"/>
      <c r="F979" s="184"/>
      <c r="G979" s="185"/>
      <c r="H979" s="186">
        <v>-57646</v>
      </c>
      <c r="I979" s="187"/>
      <c r="J979" s="2" t="s">
        <v>192</v>
      </c>
    </row>
    <row r="980" spans="1:9" s="2" customFormat="1" ht="15">
      <c r="A980" s="188"/>
      <c r="B980" s="189"/>
      <c r="C980" s="189"/>
      <c r="D980" s="190"/>
      <c r="E980" s="190"/>
      <c r="F980" s="190"/>
      <c r="G980" s="195" t="s">
        <v>263</v>
      </c>
      <c r="H980" s="191">
        <f>SUM(H979)</f>
        <v>-57646</v>
      </c>
      <c r="I980" s="187"/>
    </row>
    <row r="981" spans="1:9" s="2" customFormat="1" ht="15" hidden="1" outlineLevel="1">
      <c r="A981" s="188"/>
      <c r="B981" s="189"/>
      <c r="C981" s="189"/>
      <c r="D981" s="190"/>
      <c r="E981" s="190"/>
      <c r="F981" s="190"/>
      <c r="G981" s="190"/>
      <c r="H981" s="191"/>
      <c r="I981" s="187"/>
    </row>
    <row r="982" spans="1:10" s="199" customFormat="1" ht="15" hidden="1" outlineLevel="1">
      <c r="A982" s="212">
        <v>42061</v>
      </c>
      <c r="B982" s="213" t="s">
        <v>79</v>
      </c>
      <c r="C982" s="213" t="s">
        <v>102</v>
      </c>
      <c r="D982" s="215" t="s">
        <v>7</v>
      </c>
      <c r="E982" s="215"/>
      <c r="F982" s="215"/>
      <c r="G982" s="215"/>
      <c r="H982" s="239">
        <v>0</v>
      </c>
      <c r="I982" s="230"/>
      <c r="J982" s="199" t="s">
        <v>103</v>
      </c>
    </row>
    <row r="983" spans="1:9" s="199" customFormat="1" ht="15" hidden="1" outlineLevel="1">
      <c r="A983" s="217"/>
      <c r="B983" s="240"/>
      <c r="C983" s="240"/>
      <c r="D983" s="226"/>
      <c r="E983" s="226"/>
      <c r="F983" s="226"/>
      <c r="G983" s="242" t="s">
        <v>140</v>
      </c>
      <c r="H983" s="237">
        <f>SUM(H982)</f>
        <v>0</v>
      </c>
      <c r="I983" s="230"/>
    </row>
    <row r="984" spans="1:9" s="2" customFormat="1" ht="15" collapsed="1">
      <c r="A984" s="188"/>
      <c r="B984" s="189"/>
      <c r="C984" s="189"/>
      <c r="D984" s="190"/>
      <c r="E984" s="190"/>
      <c r="F984" s="190"/>
      <c r="G984" s="195"/>
      <c r="H984" s="191"/>
      <c r="I984" s="187"/>
    </row>
    <row r="985" spans="1:10" s="2" customFormat="1" ht="15">
      <c r="A985" s="182">
        <v>42929</v>
      </c>
      <c r="B985" s="183" t="s">
        <v>79</v>
      </c>
      <c r="C985" s="183" t="s">
        <v>89</v>
      </c>
      <c r="D985" s="184" t="s">
        <v>1680</v>
      </c>
      <c r="E985" s="184"/>
      <c r="F985" s="184"/>
      <c r="G985" s="184"/>
      <c r="H985" s="186">
        <v>250000</v>
      </c>
      <c r="I985" s="187"/>
      <c r="J985" s="2" t="s">
        <v>90</v>
      </c>
    </row>
    <row r="986" spans="1:9" s="2" customFormat="1" ht="15">
      <c r="A986" s="188"/>
      <c r="B986" s="189"/>
      <c r="C986" s="189"/>
      <c r="D986" s="190"/>
      <c r="E986" s="190"/>
      <c r="F986" s="190"/>
      <c r="G986" s="195" t="s">
        <v>986</v>
      </c>
      <c r="H986" s="191">
        <f>SUM(H985)</f>
        <v>250000</v>
      </c>
      <c r="I986" s="187"/>
    </row>
    <row r="987" spans="1:9" s="2" customFormat="1" ht="15">
      <c r="A987" s="188"/>
      <c r="B987" s="189"/>
      <c r="C987" s="189"/>
      <c r="D987" s="190"/>
      <c r="E987" s="190"/>
      <c r="F987" s="190"/>
      <c r="G987" s="195"/>
      <c r="H987" s="191"/>
      <c r="I987" s="187"/>
    </row>
    <row r="988" spans="1:9" s="2" customFormat="1" ht="15">
      <c r="A988" s="188"/>
      <c r="B988" s="189"/>
      <c r="C988" s="189"/>
      <c r="D988" s="190"/>
      <c r="E988" s="190"/>
      <c r="F988" s="190"/>
      <c r="G988" s="195" t="s">
        <v>141</v>
      </c>
      <c r="H988" s="191">
        <f>H977+H980+H983+H986</f>
        <v>492354</v>
      </c>
      <c r="I988" s="187"/>
    </row>
    <row r="989" spans="1:9" s="199" customFormat="1" ht="15" hidden="1" outlineLevel="1">
      <c r="A989" s="217"/>
      <c r="B989" s="240"/>
      <c r="C989" s="240"/>
      <c r="D989" s="226"/>
      <c r="E989" s="226"/>
      <c r="F989" s="226"/>
      <c r="G989" s="242"/>
      <c r="H989" s="237"/>
      <c r="I989" s="230"/>
    </row>
    <row r="990" spans="1:10" s="199" customFormat="1" ht="15" hidden="1" outlineLevel="1">
      <c r="A990" s="212">
        <v>42439</v>
      </c>
      <c r="B990" s="213" t="s">
        <v>987</v>
      </c>
      <c r="C990" s="213" t="s">
        <v>66</v>
      </c>
      <c r="D990" s="215" t="s">
        <v>988</v>
      </c>
      <c r="E990" s="215"/>
      <c r="F990" s="215"/>
      <c r="G990" s="215"/>
      <c r="H990" s="239">
        <v>0</v>
      </c>
      <c r="I990" s="230"/>
      <c r="J990" s="199" t="s">
        <v>86</v>
      </c>
    </row>
    <row r="991" spans="1:9" s="199" customFormat="1" ht="15" hidden="1" outlineLevel="1">
      <c r="A991" s="217"/>
      <c r="B991" s="240"/>
      <c r="C991" s="240"/>
      <c r="D991" s="226"/>
      <c r="E991" s="226"/>
      <c r="F991" s="226"/>
      <c r="G991" s="242" t="s">
        <v>990</v>
      </c>
      <c r="H991" s="237">
        <f>SUM(H990)</f>
        <v>0</v>
      </c>
      <c r="I991" s="230"/>
    </row>
    <row r="992" spans="1:9" s="199" customFormat="1" ht="15" hidden="1" outlineLevel="1">
      <c r="A992" s="217"/>
      <c r="B992" s="240"/>
      <c r="C992" s="240"/>
      <c r="D992" s="226"/>
      <c r="E992" s="226"/>
      <c r="F992" s="226"/>
      <c r="G992" s="242"/>
      <c r="H992" s="237"/>
      <c r="I992" s="230"/>
    </row>
    <row r="993" spans="1:9" s="199" customFormat="1" ht="15" hidden="1" outlineLevel="1">
      <c r="A993" s="217"/>
      <c r="B993" s="240"/>
      <c r="C993" s="240"/>
      <c r="D993" s="226"/>
      <c r="E993" s="226"/>
      <c r="F993" s="226"/>
      <c r="G993" s="242" t="s">
        <v>989</v>
      </c>
      <c r="H993" s="237">
        <f>H991</f>
        <v>0</v>
      </c>
      <c r="I993" s="230"/>
    </row>
    <row r="994" spans="1:9" s="199" customFormat="1" ht="15" hidden="1" outlineLevel="1">
      <c r="A994" s="217"/>
      <c r="B994" s="240"/>
      <c r="C994" s="240"/>
      <c r="D994" s="226"/>
      <c r="E994" s="226"/>
      <c r="F994" s="226"/>
      <c r="G994" s="242"/>
      <c r="H994" s="237"/>
      <c r="I994" s="230"/>
    </row>
    <row r="995" spans="1:10" s="247" customFormat="1" ht="15" hidden="1" outlineLevel="1">
      <c r="A995" s="234">
        <v>42346</v>
      </c>
      <c r="B995" s="205" t="s">
        <v>811</v>
      </c>
      <c r="C995" s="205" t="s">
        <v>72</v>
      </c>
      <c r="D995" s="202" t="s">
        <v>812</v>
      </c>
      <c r="E995" s="202"/>
      <c r="F995" s="202"/>
      <c r="G995" s="222"/>
      <c r="H995" s="206">
        <v>0</v>
      </c>
      <c r="I995" s="210"/>
      <c r="J995" s="199" t="s">
        <v>155</v>
      </c>
    </row>
    <row r="996" spans="1:9" s="247" customFormat="1" ht="15" hidden="1" outlineLevel="1">
      <c r="A996" s="231"/>
      <c r="B996" s="204"/>
      <c r="C996" s="204"/>
      <c r="D996" s="203"/>
      <c r="E996" s="203"/>
      <c r="F996" s="203"/>
      <c r="G996" s="207" t="s">
        <v>813</v>
      </c>
      <c r="H996" s="208">
        <f>SUM(H995)</f>
        <v>0</v>
      </c>
      <c r="I996" s="210"/>
    </row>
    <row r="997" spans="1:9" s="247" customFormat="1" ht="15" hidden="1" outlineLevel="1">
      <c r="A997" s="231"/>
      <c r="B997" s="204"/>
      <c r="C997" s="204"/>
      <c r="D997" s="203"/>
      <c r="E997" s="203"/>
      <c r="F997" s="203"/>
      <c r="G997" s="207"/>
      <c r="H997" s="208"/>
      <c r="I997" s="210"/>
    </row>
    <row r="998" spans="1:10" s="247" customFormat="1" ht="15" hidden="1" outlineLevel="1" collapsed="1">
      <c r="A998" s="234">
        <v>42674</v>
      </c>
      <c r="B998" s="205" t="s">
        <v>1284</v>
      </c>
      <c r="C998" s="205" t="s">
        <v>153</v>
      </c>
      <c r="D998" s="202" t="s">
        <v>1285</v>
      </c>
      <c r="E998" s="202"/>
      <c r="F998" s="202"/>
      <c r="G998" s="222"/>
      <c r="H998" s="206">
        <v>0</v>
      </c>
      <c r="I998" s="210"/>
      <c r="J998" s="199" t="s">
        <v>750</v>
      </c>
    </row>
    <row r="999" spans="1:9" s="247" customFormat="1" ht="15" hidden="1" outlineLevel="1">
      <c r="A999" s="231"/>
      <c r="B999" s="204"/>
      <c r="C999" s="204"/>
      <c r="D999" s="203"/>
      <c r="E999" s="203"/>
      <c r="F999" s="203"/>
      <c r="G999" s="207" t="s">
        <v>1286</v>
      </c>
      <c r="H999" s="208">
        <f>SUM(H998)</f>
        <v>0</v>
      </c>
      <c r="I999" s="210"/>
    </row>
    <row r="1000" spans="1:9" s="247" customFormat="1" ht="15" hidden="1" outlineLevel="1">
      <c r="A1000" s="231"/>
      <c r="B1000" s="204"/>
      <c r="C1000" s="204"/>
      <c r="D1000" s="203"/>
      <c r="E1000" s="203"/>
      <c r="F1000" s="203"/>
      <c r="G1000" s="207"/>
      <c r="H1000" s="208"/>
      <c r="I1000" s="210"/>
    </row>
    <row r="1001" spans="1:10" s="247" customFormat="1" ht="15" hidden="1" outlineLevel="1">
      <c r="A1001" s="234">
        <v>42674</v>
      </c>
      <c r="B1001" s="205" t="s">
        <v>1284</v>
      </c>
      <c r="C1001" s="205" t="s">
        <v>72</v>
      </c>
      <c r="D1001" s="202" t="s">
        <v>1287</v>
      </c>
      <c r="E1001" s="202"/>
      <c r="F1001" s="202"/>
      <c r="G1001" s="222"/>
      <c r="H1001" s="206">
        <v>0</v>
      </c>
      <c r="I1001" s="210"/>
      <c r="J1001" s="247" t="s">
        <v>646</v>
      </c>
    </row>
    <row r="1002" spans="1:9" s="247" customFormat="1" ht="15" hidden="1" outlineLevel="1">
      <c r="A1002" s="231"/>
      <c r="B1002" s="204"/>
      <c r="C1002" s="204"/>
      <c r="D1002" s="203"/>
      <c r="E1002" s="203"/>
      <c r="F1002" s="203"/>
      <c r="G1002" s="250" t="s">
        <v>1288</v>
      </c>
      <c r="H1002" s="208">
        <f>SUM(H1001:H1001)</f>
        <v>0</v>
      </c>
      <c r="I1002" s="210"/>
    </row>
    <row r="1003" spans="1:9" s="247" customFormat="1" ht="15" hidden="1" outlineLevel="1">
      <c r="A1003" s="231"/>
      <c r="B1003" s="204"/>
      <c r="C1003" s="204"/>
      <c r="D1003" s="203"/>
      <c r="E1003" s="203"/>
      <c r="F1003" s="203"/>
      <c r="G1003" s="207"/>
      <c r="H1003" s="208"/>
      <c r="I1003" s="210"/>
    </row>
    <row r="1004" spans="1:10" s="247" customFormat="1" ht="15" hidden="1" outlineLevel="1">
      <c r="A1004" s="231">
        <v>42674</v>
      </c>
      <c r="B1004" s="204" t="s">
        <v>1284</v>
      </c>
      <c r="C1004" s="204" t="s">
        <v>74</v>
      </c>
      <c r="D1004" s="203" t="s">
        <v>1289</v>
      </c>
      <c r="E1004" s="203"/>
      <c r="F1004" s="203"/>
      <c r="G1004" s="207"/>
      <c r="H1004" s="208">
        <v>0</v>
      </c>
      <c r="I1004" s="210"/>
      <c r="J1004" s="247" t="s">
        <v>646</v>
      </c>
    </row>
    <row r="1005" spans="1:10" s="247" customFormat="1" ht="15" hidden="1" outlineLevel="1">
      <c r="A1005" s="234">
        <v>42674</v>
      </c>
      <c r="B1005" s="205" t="s">
        <v>1284</v>
      </c>
      <c r="C1005" s="205" t="s">
        <v>87</v>
      </c>
      <c r="D1005" s="202" t="s">
        <v>1290</v>
      </c>
      <c r="E1005" s="202"/>
      <c r="F1005" s="202"/>
      <c r="G1005" s="222"/>
      <c r="H1005" s="206">
        <v>0</v>
      </c>
      <c r="I1005" s="210"/>
      <c r="J1005" s="247" t="s">
        <v>646</v>
      </c>
    </row>
    <row r="1006" spans="1:9" s="247" customFormat="1" ht="15" hidden="1" outlineLevel="1">
      <c r="A1006" s="231"/>
      <c r="B1006" s="204"/>
      <c r="C1006" s="204"/>
      <c r="D1006" s="203"/>
      <c r="E1006" s="203"/>
      <c r="F1006" s="203"/>
      <c r="G1006" s="207" t="s">
        <v>1296</v>
      </c>
      <c r="H1006" s="208">
        <f>SUM(H1004:H1005)</f>
        <v>0</v>
      </c>
      <c r="I1006" s="210"/>
    </row>
    <row r="1007" spans="1:9" s="247" customFormat="1" ht="15" hidden="1" outlineLevel="1">
      <c r="A1007" s="231"/>
      <c r="B1007" s="204"/>
      <c r="C1007" s="204"/>
      <c r="D1007" s="203"/>
      <c r="E1007" s="203"/>
      <c r="F1007" s="203"/>
      <c r="G1007" s="207"/>
      <c r="H1007" s="208"/>
      <c r="I1007" s="210"/>
    </row>
    <row r="1008" spans="1:10" s="247" customFormat="1" ht="15" hidden="1" outlineLevel="1">
      <c r="A1008" s="231">
        <v>42674</v>
      </c>
      <c r="B1008" s="204" t="s">
        <v>1284</v>
      </c>
      <c r="C1008" s="204" t="s">
        <v>1291</v>
      </c>
      <c r="D1008" s="203" t="s">
        <v>1292</v>
      </c>
      <c r="E1008" s="203"/>
      <c r="F1008" s="203"/>
      <c r="G1008" s="207"/>
      <c r="H1008" s="208">
        <v>0</v>
      </c>
      <c r="I1008" s="210"/>
      <c r="J1008" s="247" t="s">
        <v>646</v>
      </c>
    </row>
    <row r="1009" spans="1:10" s="247" customFormat="1" ht="15" hidden="1" outlineLevel="1">
      <c r="A1009" s="234">
        <v>42674</v>
      </c>
      <c r="B1009" s="205" t="s">
        <v>1284</v>
      </c>
      <c r="C1009" s="205" t="s">
        <v>1293</v>
      </c>
      <c r="D1009" s="202" t="s">
        <v>1294</v>
      </c>
      <c r="E1009" s="202"/>
      <c r="F1009" s="202"/>
      <c r="G1009" s="222"/>
      <c r="H1009" s="206">
        <v>0</v>
      </c>
      <c r="I1009" s="210"/>
      <c r="J1009" s="247" t="s">
        <v>646</v>
      </c>
    </row>
    <row r="1010" spans="1:9" s="247" customFormat="1" ht="15" hidden="1" outlineLevel="1">
      <c r="A1010" s="231"/>
      <c r="B1010" s="204"/>
      <c r="C1010" s="204"/>
      <c r="D1010" s="203"/>
      <c r="E1010" s="203"/>
      <c r="F1010" s="203"/>
      <c r="G1010" s="207" t="s">
        <v>1472</v>
      </c>
      <c r="H1010" s="208">
        <f>SUM(H1008:H1009)</f>
        <v>0</v>
      </c>
      <c r="I1010" s="210"/>
    </row>
    <row r="1011" spans="1:9" s="247" customFormat="1" ht="15" hidden="1" outlineLevel="1">
      <c r="A1011" s="231"/>
      <c r="B1011" s="204"/>
      <c r="C1011" s="204"/>
      <c r="D1011" s="203"/>
      <c r="E1011" s="203"/>
      <c r="F1011" s="203"/>
      <c r="G1011" s="207"/>
      <c r="H1011" s="208"/>
      <c r="I1011" s="210"/>
    </row>
    <row r="1012" spans="1:9" s="247" customFormat="1" ht="15" hidden="1" outlineLevel="1">
      <c r="A1012" s="231"/>
      <c r="B1012" s="204"/>
      <c r="C1012" s="204"/>
      <c r="D1012" s="203"/>
      <c r="E1012" s="203"/>
      <c r="F1012" s="203"/>
      <c r="G1012" s="242" t="s">
        <v>1295</v>
      </c>
      <c r="H1012" s="208">
        <f>H999+H1002+H1006+H1010</f>
        <v>0</v>
      </c>
      <c r="I1012" s="210"/>
    </row>
    <row r="1013" spans="1:9" s="247" customFormat="1" ht="15" hidden="1" outlineLevel="1">
      <c r="A1013" s="231"/>
      <c r="B1013" s="204"/>
      <c r="C1013" s="204"/>
      <c r="D1013" s="203"/>
      <c r="E1013" s="203"/>
      <c r="F1013" s="203"/>
      <c r="G1013" s="242"/>
      <c r="H1013" s="208"/>
      <c r="I1013" s="210"/>
    </row>
    <row r="1014" spans="1:10" ht="15" hidden="1" outlineLevel="1">
      <c r="A1014" s="234">
        <v>42674</v>
      </c>
      <c r="B1014" s="205" t="s">
        <v>65</v>
      </c>
      <c r="C1014" s="205" t="s">
        <v>1479</v>
      </c>
      <c r="D1014" s="202" t="s">
        <v>1480</v>
      </c>
      <c r="E1014" s="202"/>
      <c r="F1014" s="202"/>
      <c r="G1014" s="222"/>
      <c r="H1014" s="206">
        <v>0</v>
      </c>
      <c r="I1014" s="210"/>
      <c r="J1014" s="199" t="s">
        <v>646</v>
      </c>
    </row>
    <row r="1015" spans="1:10" ht="15" hidden="1" outlineLevel="1">
      <c r="A1015" s="231"/>
      <c r="B1015" s="204"/>
      <c r="C1015" s="204"/>
      <c r="D1015" s="203"/>
      <c r="E1015" s="203"/>
      <c r="F1015" s="203"/>
      <c r="G1015" s="207" t="s">
        <v>1481</v>
      </c>
      <c r="H1015" s="208">
        <f>SUM(H1014:H1014)</f>
        <v>0</v>
      </c>
      <c r="I1015" s="210"/>
      <c r="J1015" s="199"/>
    </row>
    <row r="1016" spans="1:9" s="247" customFormat="1" ht="15" hidden="1" outlineLevel="1">
      <c r="A1016" s="231"/>
      <c r="B1016" s="204"/>
      <c r="C1016" s="204"/>
      <c r="D1016" s="203"/>
      <c r="E1016" s="203"/>
      <c r="F1016" s="203"/>
      <c r="G1016" s="207"/>
      <c r="H1016" s="208"/>
      <c r="I1016" s="210"/>
    </row>
    <row r="1017" spans="1:10" s="247" customFormat="1" ht="15" hidden="1" outlineLevel="1">
      <c r="A1017" s="231">
        <v>42370</v>
      </c>
      <c r="B1017" s="204" t="s">
        <v>65</v>
      </c>
      <c r="C1017" s="204" t="s">
        <v>759</v>
      </c>
      <c r="D1017" s="203" t="s">
        <v>1029</v>
      </c>
      <c r="E1017" s="203"/>
      <c r="F1017" s="203"/>
      <c r="G1017" s="207"/>
      <c r="H1017" s="208">
        <v>0</v>
      </c>
      <c r="I1017" s="210"/>
      <c r="J1017" s="199" t="s">
        <v>192</v>
      </c>
    </row>
    <row r="1018" spans="1:10" s="247" customFormat="1" ht="15" hidden="1" outlineLevel="1">
      <c r="A1018" s="234">
        <v>42370</v>
      </c>
      <c r="B1018" s="205" t="s">
        <v>65</v>
      </c>
      <c r="C1018" s="205" t="s">
        <v>759</v>
      </c>
      <c r="D1018" s="202" t="s">
        <v>1029</v>
      </c>
      <c r="E1018" s="202"/>
      <c r="F1018" s="202"/>
      <c r="G1018" s="222"/>
      <c r="H1018" s="206">
        <v>0</v>
      </c>
      <c r="I1018" s="210"/>
      <c r="J1018" s="199" t="s">
        <v>192</v>
      </c>
    </row>
    <row r="1019" spans="1:10" s="247" customFormat="1" ht="15" hidden="1" outlineLevel="1">
      <c r="A1019" s="231"/>
      <c r="B1019" s="204"/>
      <c r="C1019" s="204"/>
      <c r="D1019" s="203"/>
      <c r="E1019" s="203"/>
      <c r="F1019" s="203"/>
      <c r="G1019" s="207" t="s">
        <v>1132</v>
      </c>
      <c r="H1019" s="208">
        <f>SUM(H1017:H1018)</f>
        <v>0</v>
      </c>
      <c r="I1019" s="210"/>
      <c r="J1019" s="199"/>
    </row>
    <row r="1020" spans="1:9" s="199" customFormat="1" ht="15" hidden="1" outlineLevel="1">
      <c r="A1020" s="217"/>
      <c r="B1020" s="240"/>
      <c r="C1020" s="240"/>
      <c r="D1020" s="226"/>
      <c r="E1020" s="226"/>
      <c r="F1020" s="226"/>
      <c r="G1020" s="242"/>
      <c r="H1020" s="237"/>
      <c r="I1020" s="230"/>
    </row>
    <row r="1021" spans="1:10" ht="15" hidden="1" outlineLevel="1">
      <c r="A1021" s="234">
        <v>42346</v>
      </c>
      <c r="B1021" s="205" t="s">
        <v>65</v>
      </c>
      <c r="C1021" s="205" t="s">
        <v>72</v>
      </c>
      <c r="D1021" s="202" t="s">
        <v>814</v>
      </c>
      <c r="E1021" s="202"/>
      <c r="F1021" s="202"/>
      <c r="G1021" s="222"/>
      <c r="H1021" s="206">
        <v>0</v>
      </c>
      <c r="I1021" s="210"/>
      <c r="J1021" s="199" t="s">
        <v>646</v>
      </c>
    </row>
    <row r="1022" spans="1:10" ht="15" hidden="1" outlineLevel="1">
      <c r="A1022" s="231"/>
      <c r="B1022" s="204"/>
      <c r="C1022" s="204"/>
      <c r="D1022" s="203"/>
      <c r="E1022" s="203"/>
      <c r="F1022" s="203"/>
      <c r="G1022" s="207" t="s">
        <v>647</v>
      </c>
      <c r="H1022" s="208">
        <f>SUM(H1021:H1021)</f>
        <v>0</v>
      </c>
      <c r="I1022" s="210"/>
      <c r="J1022" s="199"/>
    </row>
    <row r="1023" spans="1:9" s="2" customFormat="1" ht="15" collapsed="1">
      <c r="A1023" s="188"/>
      <c r="B1023" s="189"/>
      <c r="C1023" s="189"/>
      <c r="D1023" s="190"/>
      <c r="E1023" s="190"/>
      <c r="F1023" s="190"/>
      <c r="G1023" s="195"/>
      <c r="H1023" s="191"/>
      <c r="I1023" s="187"/>
    </row>
    <row r="1024" spans="1:10" s="2" customFormat="1" ht="15">
      <c r="A1024" s="182">
        <v>42736</v>
      </c>
      <c r="B1024" s="183" t="s">
        <v>65</v>
      </c>
      <c r="C1024" s="183" t="s">
        <v>1640</v>
      </c>
      <c r="D1024" s="184" t="s">
        <v>1652</v>
      </c>
      <c r="E1024" s="184"/>
      <c r="F1024" s="184"/>
      <c r="G1024" s="185"/>
      <c r="H1024" s="186">
        <f>5040000+1133000</f>
        <v>6173000</v>
      </c>
      <c r="I1024" s="187"/>
      <c r="J1024" s="2" t="s">
        <v>188</v>
      </c>
    </row>
    <row r="1025" spans="1:10" s="199" customFormat="1" ht="15" hidden="1" outlineLevel="1">
      <c r="A1025" s="217">
        <v>42475</v>
      </c>
      <c r="B1025" s="240" t="s">
        <v>65</v>
      </c>
      <c r="C1025" s="240" t="s">
        <v>1326</v>
      </c>
      <c r="D1025" s="226" t="s">
        <v>1341</v>
      </c>
      <c r="E1025" s="226"/>
      <c r="F1025" s="226"/>
      <c r="G1025" s="242"/>
      <c r="H1025" s="237">
        <v>0</v>
      </c>
      <c r="I1025" s="230"/>
      <c r="J1025" s="199" t="s">
        <v>646</v>
      </c>
    </row>
    <row r="1026" spans="1:10" s="199" customFormat="1" ht="15" hidden="1" outlineLevel="1">
      <c r="A1026" s="217">
        <v>42396</v>
      </c>
      <c r="B1026" s="240" t="s">
        <v>65</v>
      </c>
      <c r="C1026" s="240" t="s">
        <v>1339</v>
      </c>
      <c r="D1026" s="226" t="s">
        <v>1340</v>
      </c>
      <c r="E1026" s="226"/>
      <c r="F1026" s="226"/>
      <c r="G1026" s="242"/>
      <c r="H1026" s="237">
        <v>0</v>
      </c>
      <c r="I1026" s="230"/>
      <c r="J1026" s="199" t="s">
        <v>646</v>
      </c>
    </row>
    <row r="1027" spans="1:10" s="199" customFormat="1" ht="15" hidden="1" outlineLevel="1">
      <c r="A1027" s="217">
        <v>42802</v>
      </c>
      <c r="B1027" s="240" t="s">
        <v>65</v>
      </c>
      <c r="C1027" s="240" t="s">
        <v>78</v>
      </c>
      <c r="D1027" s="226" t="s">
        <v>1578</v>
      </c>
      <c r="E1027" s="226"/>
      <c r="F1027" s="226"/>
      <c r="G1027" s="242"/>
      <c r="H1027" s="237">
        <v>0</v>
      </c>
      <c r="I1027" s="230"/>
      <c r="J1027" s="199" t="s">
        <v>1579</v>
      </c>
    </row>
    <row r="1028" spans="1:10" s="199" customFormat="1" ht="15" hidden="1" outlineLevel="1">
      <c r="A1028" s="225">
        <v>42821</v>
      </c>
      <c r="B1028" s="218" t="s">
        <v>65</v>
      </c>
      <c r="C1028" s="218" t="s">
        <v>78</v>
      </c>
      <c r="D1028" s="216" t="s">
        <v>1580</v>
      </c>
      <c r="E1028" s="216"/>
      <c r="F1028" s="216"/>
      <c r="G1028" s="259"/>
      <c r="H1028" s="245">
        <v>0</v>
      </c>
      <c r="I1028" s="230"/>
      <c r="J1028" s="199" t="s">
        <v>1573</v>
      </c>
    </row>
    <row r="1029" spans="1:10" s="199" customFormat="1" ht="15" hidden="1" outlineLevel="1">
      <c r="A1029" s="217" t="s">
        <v>1278</v>
      </c>
      <c r="B1029" s="240" t="s">
        <v>65</v>
      </c>
      <c r="C1029" s="240" t="s">
        <v>78</v>
      </c>
      <c r="D1029" s="226" t="s">
        <v>1323</v>
      </c>
      <c r="E1029" s="226"/>
      <c r="F1029" s="226"/>
      <c r="G1029" s="242"/>
      <c r="H1029" s="237">
        <v>0</v>
      </c>
      <c r="I1029" s="230"/>
      <c r="J1029" s="199" t="s">
        <v>1271</v>
      </c>
    </row>
    <row r="1030" spans="1:10" ht="15" hidden="1" outlineLevel="1">
      <c r="A1030" s="234">
        <v>42614</v>
      </c>
      <c r="B1030" s="205" t="s">
        <v>65</v>
      </c>
      <c r="C1030" s="205" t="s">
        <v>78</v>
      </c>
      <c r="D1030" s="202" t="s">
        <v>1214</v>
      </c>
      <c r="E1030" s="202"/>
      <c r="F1030" s="202"/>
      <c r="G1030" s="202"/>
      <c r="H1030" s="206">
        <v>0</v>
      </c>
      <c r="I1030" s="210"/>
      <c r="J1030" s="199" t="s">
        <v>109</v>
      </c>
    </row>
    <row r="1031" spans="1:10" s="1" customFormat="1" ht="15" collapsed="1">
      <c r="A1031" s="174"/>
      <c r="B1031" s="175"/>
      <c r="C1031" s="175"/>
      <c r="D1031" s="176"/>
      <c r="E1031" s="176"/>
      <c r="F1031" s="176"/>
      <c r="G1031" s="201" t="s">
        <v>143</v>
      </c>
      <c r="H1031" s="177">
        <f>SUM(H1024:H1030)</f>
        <v>6173000</v>
      </c>
      <c r="I1031" s="172"/>
      <c r="J1031" s="2"/>
    </row>
    <row r="1032" spans="1:10" s="1" customFormat="1" ht="15">
      <c r="A1032" s="174"/>
      <c r="B1032" s="175"/>
      <c r="C1032" s="175"/>
      <c r="D1032" s="176"/>
      <c r="E1032" s="176"/>
      <c r="F1032" s="176"/>
      <c r="G1032" s="201"/>
      <c r="H1032" s="177"/>
      <c r="I1032" s="172"/>
      <c r="J1032" s="2"/>
    </row>
    <row r="1033" spans="1:10" s="1" customFormat="1" ht="15">
      <c r="A1033" s="174">
        <v>42736</v>
      </c>
      <c r="B1033" s="175" t="s">
        <v>65</v>
      </c>
      <c r="C1033" s="175" t="s">
        <v>182</v>
      </c>
      <c r="D1033" s="176" t="s">
        <v>264</v>
      </c>
      <c r="E1033" s="176"/>
      <c r="F1033" s="176"/>
      <c r="G1033" s="201"/>
      <c r="H1033" s="177">
        <v>946051</v>
      </c>
      <c r="I1033" s="172"/>
      <c r="J1033" s="2" t="s">
        <v>192</v>
      </c>
    </row>
    <row r="1034" spans="1:10" ht="15" hidden="1" outlineLevel="1">
      <c r="A1034" s="234">
        <v>42370</v>
      </c>
      <c r="B1034" s="205" t="s">
        <v>65</v>
      </c>
      <c r="C1034" s="205" t="s">
        <v>182</v>
      </c>
      <c r="D1034" s="202" t="s">
        <v>275</v>
      </c>
      <c r="E1034" s="202"/>
      <c r="F1034" s="202"/>
      <c r="G1034" s="222"/>
      <c r="H1034" s="206">
        <v>0</v>
      </c>
      <c r="I1034" s="210"/>
      <c r="J1034" s="199" t="s">
        <v>192</v>
      </c>
    </row>
    <row r="1035" spans="1:10" s="1" customFormat="1" ht="15" collapsed="1">
      <c r="A1035" s="174"/>
      <c r="B1035" s="175"/>
      <c r="C1035" s="175"/>
      <c r="D1035" s="176"/>
      <c r="E1035" s="176"/>
      <c r="F1035" s="176"/>
      <c r="G1035" s="201" t="s">
        <v>264</v>
      </c>
      <c r="H1035" s="177">
        <f>SUM(H1033:H1034)</f>
        <v>946051</v>
      </c>
      <c r="I1035" s="172"/>
      <c r="J1035" s="2"/>
    </row>
    <row r="1036" spans="1:10" s="1" customFormat="1" ht="15">
      <c r="A1036" s="174"/>
      <c r="B1036" s="175"/>
      <c r="C1036" s="175"/>
      <c r="D1036" s="176"/>
      <c r="E1036" s="176"/>
      <c r="F1036" s="176"/>
      <c r="G1036" s="201"/>
      <c r="H1036" s="177"/>
      <c r="I1036" s="172"/>
      <c r="J1036" s="2"/>
    </row>
    <row r="1037" spans="1:10" s="1" customFormat="1" ht="15" collapsed="1">
      <c r="A1037" s="174"/>
      <c r="B1037" s="175"/>
      <c r="C1037" s="175"/>
      <c r="D1037" s="176"/>
      <c r="E1037" s="176"/>
      <c r="F1037" s="176"/>
      <c r="G1037" s="201" t="s">
        <v>265</v>
      </c>
      <c r="H1037" s="177">
        <f>H1015+H1019+H1022+H1031+H1035</f>
        <v>7119051</v>
      </c>
      <c r="I1037" s="172"/>
      <c r="J1037" s="2"/>
    </row>
    <row r="1038" spans="1:10" s="1" customFormat="1" ht="15">
      <c r="A1038" s="174"/>
      <c r="B1038" s="175"/>
      <c r="C1038" s="175"/>
      <c r="D1038" s="176"/>
      <c r="E1038" s="176"/>
      <c r="F1038" s="176"/>
      <c r="G1038" s="201"/>
      <c r="H1038" s="177"/>
      <c r="I1038" s="172"/>
      <c r="J1038" s="2"/>
    </row>
    <row r="1039" spans="1:10" s="1" customFormat="1" ht="15">
      <c r="A1039" s="168">
        <v>42736</v>
      </c>
      <c r="B1039" s="169" t="s">
        <v>1696</v>
      </c>
      <c r="C1039" s="169" t="s">
        <v>89</v>
      </c>
      <c r="D1039" s="184" t="s">
        <v>1697</v>
      </c>
      <c r="E1039" s="170"/>
      <c r="F1039" s="170"/>
      <c r="G1039" s="170"/>
      <c r="H1039" s="171">
        <v>2548000</v>
      </c>
      <c r="I1039" s="172"/>
      <c r="J1039" s="2" t="s">
        <v>1702</v>
      </c>
    </row>
    <row r="1040" spans="1:10" s="1" customFormat="1" ht="15">
      <c r="A1040" s="174"/>
      <c r="B1040" s="175"/>
      <c r="C1040" s="175"/>
      <c r="D1040" s="190"/>
      <c r="E1040" s="176"/>
      <c r="F1040" s="176"/>
      <c r="G1040" s="201" t="s">
        <v>1698</v>
      </c>
      <c r="H1040" s="177">
        <f>SUM(H1039)</f>
        <v>2548000</v>
      </c>
      <c r="I1040" s="172"/>
      <c r="J1040" s="2"/>
    </row>
    <row r="1041" spans="1:10" s="1" customFormat="1" ht="15">
      <c r="A1041" s="174"/>
      <c r="B1041" s="175"/>
      <c r="C1041" s="175"/>
      <c r="D1041" s="176"/>
      <c r="E1041" s="176"/>
      <c r="F1041" s="176"/>
      <c r="G1041" s="176"/>
      <c r="H1041" s="177"/>
      <c r="I1041" s="172"/>
      <c r="J1041" s="2"/>
    </row>
    <row r="1042" spans="1:10" s="1" customFormat="1" ht="15">
      <c r="A1042" s="168">
        <v>42915</v>
      </c>
      <c r="B1042" s="169" t="s">
        <v>80</v>
      </c>
      <c r="C1042" s="169" t="s">
        <v>81</v>
      </c>
      <c r="D1042" s="184" t="s">
        <v>1622</v>
      </c>
      <c r="E1042" s="170"/>
      <c r="F1042" s="170"/>
      <c r="G1042" s="170"/>
      <c r="H1042" s="171">
        <v>500000</v>
      </c>
      <c r="I1042" s="172"/>
      <c r="J1042" s="2" t="s">
        <v>473</v>
      </c>
    </row>
    <row r="1043" spans="1:10" s="1" customFormat="1" ht="15">
      <c r="A1043" s="174"/>
      <c r="B1043" s="175"/>
      <c r="C1043" s="175"/>
      <c r="D1043" s="190"/>
      <c r="E1043" s="176"/>
      <c r="F1043" s="176"/>
      <c r="G1043" s="201" t="s">
        <v>142</v>
      </c>
      <c r="H1043" s="177">
        <f>SUM(H1042)</f>
        <v>500000</v>
      </c>
      <c r="I1043" s="172"/>
      <c r="J1043" s="2"/>
    </row>
    <row r="1044" spans="1:10" ht="15" hidden="1" outlineLevel="1">
      <c r="A1044" s="231"/>
      <c r="B1044" s="204"/>
      <c r="C1044" s="204"/>
      <c r="D1044" s="226"/>
      <c r="E1044" s="203"/>
      <c r="F1044" s="203"/>
      <c r="G1044" s="207"/>
      <c r="H1044" s="208"/>
      <c r="I1044" s="210"/>
      <c r="J1044" s="199"/>
    </row>
    <row r="1045" spans="1:10" ht="15" hidden="1" outlineLevel="1">
      <c r="A1045" s="231">
        <v>42717</v>
      </c>
      <c r="B1045" s="204" t="s">
        <v>1335</v>
      </c>
      <c r="C1045" s="204" t="s">
        <v>1326</v>
      </c>
      <c r="D1045" s="226" t="s">
        <v>1415</v>
      </c>
      <c r="E1045" s="203"/>
      <c r="F1045" s="203"/>
      <c r="G1045" s="207"/>
      <c r="H1045" s="208">
        <v>0</v>
      </c>
      <c r="I1045" s="210" t="s">
        <v>1416</v>
      </c>
      <c r="J1045" s="199" t="s">
        <v>646</v>
      </c>
    </row>
    <row r="1046" spans="1:10" ht="15" hidden="1" outlineLevel="1">
      <c r="A1046" s="231">
        <v>42389</v>
      </c>
      <c r="B1046" s="204" t="s">
        <v>1335</v>
      </c>
      <c r="C1046" s="204" t="s">
        <v>1326</v>
      </c>
      <c r="D1046" s="226" t="s">
        <v>1336</v>
      </c>
      <c r="E1046" s="203"/>
      <c r="F1046" s="203"/>
      <c r="G1046" s="207"/>
      <c r="H1046" s="208">
        <v>0</v>
      </c>
      <c r="I1046" s="210"/>
      <c r="J1046" s="199" t="s">
        <v>646</v>
      </c>
    </row>
    <row r="1047" spans="1:10" ht="15" hidden="1" outlineLevel="1">
      <c r="A1047" s="231" t="s">
        <v>1330</v>
      </c>
      <c r="B1047" s="204" t="s">
        <v>1335</v>
      </c>
      <c r="C1047" s="204" t="s">
        <v>1326</v>
      </c>
      <c r="D1047" s="226" t="s">
        <v>1337</v>
      </c>
      <c r="E1047" s="203"/>
      <c r="F1047" s="203"/>
      <c r="G1047" s="207"/>
      <c r="H1047" s="208">
        <v>0</v>
      </c>
      <c r="I1047" s="210"/>
      <c r="J1047" s="199" t="s">
        <v>646</v>
      </c>
    </row>
    <row r="1048" spans="1:10" ht="15" hidden="1" outlineLevel="1">
      <c r="A1048" s="234" t="s">
        <v>1330</v>
      </c>
      <c r="B1048" s="205" t="s">
        <v>1335</v>
      </c>
      <c r="C1048" s="205" t="s">
        <v>1326</v>
      </c>
      <c r="D1048" s="215" t="s">
        <v>1331</v>
      </c>
      <c r="E1048" s="202"/>
      <c r="F1048" s="202"/>
      <c r="G1048" s="222"/>
      <c r="H1048" s="206">
        <v>0</v>
      </c>
      <c r="I1048" s="210"/>
      <c r="J1048" s="199" t="s">
        <v>646</v>
      </c>
    </row>
    <row r="1049" spans="1:10" ht="15" hidden="1" outlineLevel="1">
      <c r="A1049" s="231"/>
      <c r="B1049" s="204"/>
      <c r="C1049" s="204"/>
      <c r="D1049" s="226"/>
      <c r="E1049" s="203"/>
      <c r="F1049" s="203"/>
      <c r="G1049" s="207" t="s">
        <v>1338</v>
      </c>
      <c r="H1049" s="208">
        <f>SUM(H1045:H1048)</f>
        <v>0</v>
      </c>
      <c r="I1049" s="210"/>
      <c r="J1049" s="199"/>
    </row>
    <row r="1050" spans="1:10" ht="15" hidden="1" outlineLevel="1">
      <c r="A1050" s="231"/>
      <c r="B1050" s="204"/>
      <c r="C1050" s="204"/>
      <c r="D1050" s="226"/>
      <c r="E1050" s="203"/>
      <c r="F1050" s="203"/>
      <c r="G1050" s="207"/>
      <c r="H1050" s="208"/>
      <c r="I1050" s="210"/>
      <c r="J1050" s="199"/>
    </row>
    <row r="1051" spans="1:10" s="247" customFormat="1" ht="15" hidden="1" outlineLevel="1">
      <c r="A1051" s="234">
        <v>42370</v>
      </c>
      <c r="B1051" s="205" t="s">
        <v>1180</v>
      </c>
      <c r="C1051" s="205" t="s">
        <v>1173</v>
      </c>
      <c r="D1051" s="202" t="s">
        <v>1181</v>
      </c>
      <c r="E1051" s="202"/>
      <c r="F1051" s="202"/>
      <c r="G1051" s="222"/>
      <c r="H1051" s="206">
        <v>0</v>
      </c>
      <c r="I1051" s="210"/>
      <c r="J1051" s="200" t="s">
        <v>760</v>
      </c>
    </row>
    <row r="1052" spans="1:9" s="247" customFormat="1" ht="15" hidden="1" outlineLevel="1">
      <c r="A1052" s="231"/>
      <c r="B1052" s="204"/>
      <c r="C1052" s="204"/>
      <c r="D1052" s="203"/>
      <c r="E1052" s="203"/>
      <c r="F1052" s="203"/>
      <c r="G1052" s="207" t="s">
        <v>716</v>
      </c>
      <c r="H1052" s="208">
        <f>SUM(H1051)</f>
        <v>0</v>
      </c>
      <c r="I1052" s="210"/>
    </row>
    <row r="1053" spans="1:9" s="247" customFormat="1" ht="15" hidden="1" outlineLevel="1">
      <c r="A1053" s="231"/>
      <c r="B1053" s="204"/>
      <c r="C1053" s="204"/>
      <c r="D1053" s="203"/>
      <c r="E1053" s="203"/>
      <c r="F1053" s="203"/>
      <c r="G1053" s="207"/>
      <c r="H1053" s="208"/>
      <c r="I1053" s="210"/>
    </row>
    <row r="1054" spans="1:10" s="247" customFormat="1" ht="15" hidden="1" outlineLevel="1">
      <c r="A1054" s="234">
        <v>42860</v>
      </c>
      <c r="B1054" s="205" t="s">
        <v>1413</v>
      </c>
      <c r="C1054" s="205" t="s">
        <v>672</v>
      </c>
      <c r="D1054" s="202" t="s">
        <v>1414</v>
      </c>
      <c r="E1054" s="202"/>
      <c r="F1054" s="202"/>
      <c r="G1054" s="222"/>
      <c r="H1054" s="206">
        <v>0</v>
      </c>
      <c r="I1054" s="210"/>
      <c r="J1054" s="200" t="s">
        <v>85</v>
      </c>
    </row>
    <row r="1055" spans="1:9" s="247" customFormat="1" ht="15" hidden="1" outlineLevel="1">
      <c r="A1055" s="231"/>
      <c r="B1055" s="204"/>
      <c r="C1055" s="204"/>
      <c r="D1055" s="203"/>
      <c r="E1055" s="203"/>
      <c r="F1055" s="203"/>
      <c r="G1055" s="207" t="s">
        <v>1475</v>
      </c>
      <c r="H1055" s="208">
        <f>SUM(H1054)</f>
        <v>0</v>
      </c>
      <c r="I1055" s="210"/>
    </row>
    <row r="1056" spans="1:9" s="247" customFormat="1" ht="15" hidden="1" outlineLevel="1">
      <c r="A1056" s="231"/>
      <c r="B1056" s="204"/>
      <c r="C1056" s="204"/>
      <c r="D1056" s="203"/>
      <c r="E1056" s="203"/>
      <c r="F1056" s="203"/>
      <c r="G1056" s="207"/>
      <c r="H1056" s="208"/>
      <c r="I1056" s="210"/>
    </row>
    <row r="1057" spans="1:10" s="199" customFormat="1" ht="15" hidden="1" outlineLevel="1">
      <c r="A1057" s="217">
        <v>42886</v>
      </c>
      <c r="B1057" s="218"/>
      <c r="C1057" s="221"/>
      <c r="D1057" s="216" t="s">
        <v>1183</v>
      </c>
      <c r="E1057" s="216"/>
      <c r="F1057" s="216"/>
      <c r="G1057" s="207"/>
      <c r="H1057" s="208">
        <v>0</v>
      </c>
      <c r="I1057" s="216"/>
      <c r="J1057" s="199" t="s">
        <v>1184</v>
      </c>
    </row>
    <row r="1058" spans="1:9" s="199" customFormat="1" ht="15" hidden="1" outlineLevel="1">
      <c r="A1058" s="217"/>
      <c r="B1058" s="218"/>
      <c r="C1058" s="221"/>
      <c r="D1058" s="216"/>
      <c r="E1058" s="216"/>
      <c r="F1058" s="216"/>
      <c r="G1058" s="207"/>
      <c r="H1058" s="208"/>
      <c r="I1058" s="216"/>
    </row>
    <row r="1059" spans="1:10" s="199" customFormat="1" ht="15" hidden="1" outlineLevel="1">
      <c r="A1059" s="217">
        <v>42370</v>
      </c>
      <c r="B1059" s="218"/>
      <c r="C1059" s="221"/>
      <c r="D1059" s="216" t="s">
        <v>1185</v>
      </c>
      <c r="E1059" s="216"/>
      <c r="F1059" s="216"/>
      <c r="G1059" s="207"/>
      <c r="H1059" s="208">
        <v>0</v>
      </c>
      <c r="I1059" s="216"/>
      <c r="J1059" s="199" t="s">
        <v>145</v>
      </c>
    </row>
    <row r="1060" spans="1:10" s="1" customFormat="1" ht="15" collapsed="1">
      <c r="A1060" s="174"/>
      <c r="B1060" s="175"/>
      <c r="C1060" s="175"/>
      <c r="D1060" s="190"/>
      <c r="E1060" s="176"/>
      <c r="F1060" s="176"/>
      <c r="G1060" s="201"/>
      <c r="H1060" s="177"/>
      <c r="I1060" s="172"/>
      <c r="J1060" s="2"/>
    </row>
    <row r="1061" spans="1:10" s="1" customFormat="1" ht="15">
      <c r="A1061" s="174"/>
      <c r="B1061" s="175"/>
      <c r="C1061" s="175"/>
      <c r="D1061" s="190"/>
      <c r="E1061" s="176"/>
      <c r="F1061" s="176"/>
      <c r="G1061" s="201" t="s">
        <v>144</v>
      </c>
      <c r="H1061" s="277">
        <f>H988+H993+H996+H1012+H1037+H1040+H1043+H1049+H1052+H1055</f>
        <v>10659405</v>
      </c>
      <c r="I1061" s="172"/>
      <c r="J1061" s="2"/>
    </row>
    <row r="1062" spans="1:10" s="1" customFormat="1" ht="15">
      <c r="A1062" s="174"/>
      <c r="B1062" s="175"/>
      <c r="C1062" s="175"/>
      <c r="D1062" s="190"/>
      <c r="E1062" s="176"/>
      <c r="F1062" s="176"/>
      <c r="G1062" s="201" t="s">
        <v>144</v>
      </c>
      <c r="H1062" s="277">
        <f>H1061+H1057+H1059</f>
        <v>10659405</v>
      </c>
      <c r="I1062" s="172"/>
      <c r="J1062" s="2"/>
    </row>
    <row r="1063" spans="1:10" s="1" customFormat="1" ht="15">
      <c r="A1063" s="174"/>
      <c r="B1063" s="175"/>
      <c r="C1063" s="175"/>
      <c r="D1063" s="190"/>
      <c r="E1063" s="176"/>
      <c r="F1063" s="176"/>
      <c r="G1063" s="201"/>
      <c r="H1063" s="277"/>
      <c r="I1063" s="172"/>
      <c r="J1063" s="2"/>
    </row>
    <row r="1064" spans="1:9" s="173" customFormat="1" ht="15">
      <c r="A1064" s="290" t="s">
        <v>481</v>
      </c>
      <c r="B1064" s="175"/>
      <c r="C1064" s="175"/>
      <c r="D1064" s="176"/>
      <c r="E1064" s="176"/>
      <c r="F1064" s="176"/>
      <c r="G1064" s="201"/>
      <c r="H1064" s="177"/>
      <c r="I1064" s="172"/>
    </row>
    <row r="1065" spans="1:10" s="247" customFormat="1" ht="15" hidden="1" outlineLevel="1">
      <c r="A1065" s="234">
        <v>42155</v>
      </c>
      <c r="B1065" s="205" t="s">
        <v>482</v>
      </c>
      <c r="C1065" s="205" t="s">
        <v>483</v>
      </c>
      <c r="D1065" s="202" t="s">
        <v>484</v>
      </c>
      <c r="E1065" s="202"/>
      <c r="F1065" s="202"/>
      <c r="G1065" s="222"/>
      <c r="H1065" s="206">
        <v>0</v>
      </c>
      <c r="I1065" s="210"/>
      <c r="J1065" s="200" t="s">
        <v>1417</v>
      </c>
    </row>
    <row r="1066" spans="1:9" s="247" customFormat="1" ht="15" hidden="1" outlineLevel="1">
      <c r="A1066" s="231"/>
      <c r="B1066" s="204"/>
      <c r="C1066" s="204"/>
      <c r="D1066" s="203"/>
      <c r="E1066" s="203"/>
      <c r="F1066" s="203"/>
      <c r="G1066" s="207" t="s">
        <v>486</v>
      </c>
      <c r="H1066" s="208">
        <f>SUM(H1065)</f>
        <v>0</v>
      </c>
      <c r="I1066" s="210"/>
    </row>
    <row r="1067" spans="1:9" s="173" customFormat="1" ht="15" collapsed="1">
      <c r="A1067" s="174"/>
      <c r="B1067" s="175"/>
      <c r="C1067" s="175"/>
      <c r="D1067" s="176"/>
      <c r="E1067" s="176"/>
      <c r="F1067" s="176"/>
      <c r="G1067" s="201"/>
      <c r="H1067" s="177"/>
      <c r="I1067" s="172"/>
    </row>
    <row r="1068" spans="1:9" s="173" customFormat="1" ht="15">
      <c r="A1068" s="174"/>
      <c r="B1068" s="175"/>
      <c r="C1068" s="175"/>
      <c r="D1068" s="176"/>
      <c r="E1068" s="176"/>
      <c r="F1068" s="176"/>
      <c r="G1068" s="201" t="s">
        <v>481</v>
      </c>
      <c r="H1068" s="277">
        <f>H1066</f>
        <v>0</v>
      </c>
      <c r="I1068" s="172"/>
    </row>
    <row r="1069" spans="1:9" s="173" customFormat="1" ht="15">
      <c r="A1069" s="174"/>
      <c r="B1069" s="175"/>
      <c r="C1069" s="175"/>
      <c r="D1069" s="176"/>
      <c r="E1069" s="176"/>
      <c r="F1069" s="176"/>
      <c r="G1069" s="201"/>
      <c r="H1069" s="277"/>
      <c r="I1069" s="172"/>
    </row>
    <row r="1070" spans="1:9" s="173" customFormat="1" ht="15">
      <c r="A1070" s="290" t="s">
        <v>653</v>
      </c>
      <c r="B1070" s="175"/>
      <c r="C1070" s="175"/>
      <c r="D1070" s="176"/>
      <c r="E1070" s="176"/>
      <c r="F1070" s="176"/>
      <c r="G1070" s="201"/>
      <c r="H1070" s="177"/>
      <c r="I1070" s="172"/>
    </row>
    <row r="1071" spans="1:10" s="173" customFormat="1" ht="15">
      <c r="A1071" s="168">
        <v>42978</v>
      </c>
      <c r="B1071" s="169" t="s">
        <v>1208</v>
      </c>
      <c r="C1071" s="169" t="s">
        <v>1209</v>
      </c>
      <c r="D1071" s="184" t="s">
        <v>1210</v>
      </c>
      <c r="E1071" s="170"/>
      <c r="F1071" s="170"/>
      <c r="G1071" s="185"/>
      <c r="H1071" s="171">
        <v>-5000000</v>
      </c>
      <c r="I1071" s="172"/>
      <c r="J1071" s="178" t="s">
        <v>1703</v>
      </c>
    </row>
    <row r="1072" spans="1:9" s="173" customFormat="1" ht="15">
      <c r="A1072" s="174"/>
      <c r="B1072" s="175"/>
      <c r="C1072" s="175"/>
      <c r="D1072" s="176"/>
      <c r="E1072" s="176"/>
      <c r="F1072" s="176"/>
      <c r="G1072" s="288" t="s">
        <v>651</v>
      </c>
      <c r="H1072" s="177">
        <f>SUM(H1071)</f>
        <v>-5000000</v>
      </c>
      <c r="I1072" s="172"/>
    </row>
    <row r="1073" spans="1:9" s="173" customFormat="1" ht="15">
      <c r="A1073" s="174"/>
      <c r="B1073" s="175"/>
      <c r="C1073" s="175"/>
      <c r="D1073" s="176"/>
      <c r="E1073" s="176"/>
      <c r="F1073" s="176"/>
      <c r="G1073" s="288"/>
      <c r="H1073" s="177"/>
      <c r="I1073" s="172"/>
    </row>
    <row r="1074" spans="1:10" s="247" customFormat="1" ht="15" hidden="1" outlineLevel="1">
      <c r="A1074" s="231">
        <v>42717</v>
      </c>
      <c r="B1074" s="204" t="s">
        <v>1418</v>
      </c>
      <c r="C1074" s="204" t="s">
        <v>1419</v>
      </c>
      <c r="D1074" s="216" t="s">
        <v>1421</v>
      </c>
      <c r="E1074" s="203"/>
      <c r="F1074" s="203"/>
      <c r="G1074" s="281"/>
      <c r="H1074" s="208">
        <v>0</v>
      </c>
      <c r="I1074" s="210"/>
      <c r="J1074" s="200" t="s">
        <v>1417</v>
      </c>
    </row>
    <row r="1075" spans="1:10" s="173" customFormat="1" ht="15" collapsed="1">
      <c r="A1075" s="168">
        <v>42978</v>
      </c>
      <c r="B1075" s="169" t="s">
        <v>1418</v>
      </c>
      <c r="C1075" s="169" t="s">
        <v>1422</v>
      </c>
      <c r="D1075" s="184" t="s">
        <v>1423</v>
      </c>
      <c r="E1075" s="170"/>
      <c r="F1075" s="170"/>
      <c r="G1075" s="185"/>
      <c r="H1075" s="171">
        <v>-10133052</v>
      </c>
      <c r="I1075" s="172"/>
      <c r="J1075" s="178" t="s">
        <v>1703</v>
      </c>
    </row>
    <row r="1076" spans="1:10" s="247" customFormat="1" ht="15" hidden="1" outlineLevel="1">
      <c r="A1076" s="231">
        <v>42878</v>
      </c>
      <c r="B1076" s="204" t="s">
        <v>1418</v>
      </c>
      <c r="C1076" s="204" t="s">
        <v>1424</v>
      </c>
      <c r="D1076" s="216" t="s">
        <v>1425</v>
      </c>
      <c r="E1076" s="203"/>
      <c r="F1076" s="203"/>
      <c r="G1076" s="281"/>
      <c r="H1076" s="208">
        <v>0</v>
      </c>
      <c r="I1076" s="210"/>
      <c r="J1076" s="200" t="s">
        <v>1417</v>
      </c>
    </row>
    <row r="1077" spans="1:10" s="247" customFormat="1" ht="15" hidden="1" outlineLevel="1">
      <c r="A1077" s="231">
        <v>42717</v>
      </c>
      <c r="B1077" s="204" t="s">
        <v>1418</v>
      </c>
      <c r="C1077" s="204" t="s">
        <v>1426</v>
      </c>
      <c r="D1077" s="216" t="s">
        <v>1427</v>
      </c>
      <c r="E1077" s="203"/>
      <c r="F1077" s="203"/>
      <c r="G1077" s="281"/>
      <c r="H1077" s="208">
        <v>0</v>
      </c>
      <c r="I1077" s="210"/>
      <c r="J1077" s="200" t="s">
        <v>1417</v>
      </c>
    </row>
    <row r="1078" spans="1:9" s="173" customFormat="1" ht="15" collapsed="1">
      <c r="A1078" s="174"/>
      <c r="B1078" s="175"/>
      <c r="C1078" s="175"/>
      <c r="D1078" s="176"/>
      <c r="E1078" s="176"/>
      <c r="F1078" s="176"/>
      <c r="G1078" s="288" t="s">
        <v>1420</v>
      </c>
      <c r="H1078" s="177">
        <f>SUM(H1074:H1077)</f>
        <v>-10133052</v>
      </c>
      <c r="I1078" s="172"/>
    </row>
    <row r="1079" spans="1:9" s="247" customFormat="1" ht="15" hidden="1" outlineLevel="1">
      <c r="A1079" s="231"/>
      <c r="B1079" s="204"/>
      <c r="C1079" s="204"/>
      <c r="D1079" s="203"/>
      <c r="E1079" s="203"/>
      <c r="F1079" s="203"/>
      <c r="G1079" s="281"/>
      <c r="H1079" s="208"/>
      <c r="I1079" s="210"/>
    </row>
    <row r="1080" spans="1:9" s="200" customFormat="1" ht="15" hidden="1" outlineLevel="1">
      <c r="A1080" s="225"/>
      <c r="B1080" s="218"/>
      <c r="C1080" s="218"/>
      <c r="D1080" s="216"/>
      <c r="E1080" s="216"/>
      <c r="F1080" s="216"/>
      <c r="G1080" s="252"/>
      <c r="H1080" s="245"/>
      <c r="I1080" s="253"/>
    </row>
    <row r="1081" spans="1:10" s="247" customFormat="1" ht="15" hidden="1" outlineLevel="1">
      <c r="A1081" s="231">
        <v>42152</v>
      </c>
      <c r="B1081" s="204" t="s">
        <v>648</v>
      </c>
      <c r="C1081" s="204" t="s">
        <v>649</v>
      </c>
      <c r="D1081" s="216" t="s">
        <v>650</v>
      </c>
      <c r="E1081" s="203"/>
      <c r="F1081" s="203"/>
      <c r="G1081" s="281"/>
      <c r="H1081" s="208">
        <v>0</v>
      </c>
      <c r="I1081" s="210"/>
      <c r="J1081" s="200" t="s">
        <v>463</v>
      </c>
    </row>
    <row r="1082" spans="1:9" s="247" customFormat="1" ht="15" hidden="1" outlineLevel="1">
      <c r="A1082" s="231"/>
      <c r="B1082" s="204"/>
      <c r="C1082" s="204"/>
      <c r="D1082" s="203"/>
      <c r="E1082" s="203"/>
      <c r="F1082" s="203"/>
      <c r="G1082" s="281" t="s">
        <v>651</v>
      </c>
      <c r="H1082" s="208">
        <f>SUM(H1081)</f>
        <v>0</v>
      </c>
      <c r="I1082" s="210"/>
    </row>
    <row r="1083" spans="1:9" s="173" customFormat="1" ht="15" collapsed="1">
      <c r="A1083" s="174"/>
      <c r="B1083" s="175"/>
      <c r="C1083" s="175"/>
      <c r="D1083" s="176"/>
      <c r="E1083" s="176"/>
      <c r="F1083" s="176"/>
      <c r="G1083" s="201"/>
      <c r="H1083" s="177"/>
      <c r="I1083" s="172"/>
    </row>
    <row r="1084" spans="1:9" s="173" customFormat="1" ht="15" collapsed="1">
      <c r="A1084" s="174"/>
      <c r="B1084" s="175"/>
      <c r="C1084" s="175"/>
      <c r="D1084" s="176"/>
      <c r="E1084" s="176"/>
      <c r="F1084" s="176"/>
      <c r="G1084" s="201" t="s">
        <v>652</v>
      </c>
      <c r="H1084" s="277">
        <f>H1072+H1078+H1082</f>
        <v>-15133052</v>
      </c>
      <c r="I1084" s="172"/>
    </row>
    <row r="1085" spans="1:9" s="173" customFormat="1" ht="15">
      <c r="A1085" s="174"/>
      <c r="B1085" s="175"/>
      <c r="C1085" s="175"/>
      <c r="D1085" s="176"/>
      <c r="E1085" s="176"/>
      <c r="F1085" s="176"/>
      <c r="G1085" s="201"/>
      <c r="H1085" s="277"/>
      <c r="I1085" s="172"/>
    </row>
    <row r="1086" spans="1:9" s="173" customFormat="1" ht="15">
      <c r="A1086" s="174"/>
      <c r="B1086" s="175"/>
      <c r="C1086" s="175"/>
      <c r="D1086" s="176"/>
      <c r="E1086" s="176"/>
      <c r="F1086" s="176"/>
      <c r="G1086" s="201" t="s">
        <v>1473</v>
      </c>
      <c r="H1086" s="277">
        <f>H28+H205+H211+H395+H472+H628+H659+H674+H726+H759+H805+H897+H973+H1062+H1068+H1084</f>
        <v>21454606</v>
      </c>
      <c r="I1086" s="172"/>
    </row>
    <row r="1087" spans="1:9" s="173" customFormat="1" ht="15">
      <c r="A1087" s="174"/>
      <c r="B1087" s="175"/>
      <c r="C1087" s="175"/>
      <c r="D1087" s="176"/>
      <c r="E1087" s="176"/>
      <c r="F1087" s="176"/>
      <c r="G1087" s="201"/>
      <c r="H1087" s="277"/>
      <c r="I1087" s="172"/>
    </row>
    <row r="1088" spans="1:9" s="173" customFormat="1" ht="15">
      <c r="A1088" s="174"/>
      <c r="B1088" s="175"/>
      <c r="C1088" s="175"/>
      <c r="D1088" s="176"/>
      <c r="E1088" s="176"/>
      <c r="F1088" s="176"/>
      <c r="G1088" s="201"/>
      <c r="H1088" s="277"/>
      <c r="I1088" s="172"/>
    </row>
    <row r="1089" spans="1:9" s="173" customFormat="1" ht="15">
      <c r="A1089" s="174"/>
      <c r="B1089" s="175"/>
      <c r="C1089" s="175"/>
      <c r="D1089" s="176"/>
      <c r="E1089" s="176"/>
      <c r="F1089" s="176"/>
      <c r="G1089" s="201"/>
      <c r="H1089" s="277"/>
      <c r="I1089" s="172"/>
    </row>
    <row r="1090" spans="1:10" s="1" customFormat="1" ht="15">
      <c r="A1090" s="174"/>
      <c r="B1090" s="175"/>
      <c r="C1090" s="175"/>
      <c r="D1090" s="190"/>
      <c r="E1090" s="176"/>
      <c r="F1090" s="176"/>
      <c r="G1090" s="201"/>
      <c r="H1090" s="277"/>
      <c r="I1090" s="172"/>
      <c r="J1090" s="2"/>
    </row>
    <row r="1091" spans="1:9" s="1" customFormat="1" ht="15">
      <c r="A1091" s="289" t="s">
        <v>97</v>
      </c>
      <c r="B1091" s="267"/>
      <c r="C1091" s="267"/>
      <c r="D1091" s="268"/>
      <c r="E1091" s="268"/>
      <c r="F1091" s="268"/>
      <c r="G1091" s="268"/>
      <c r="H1091" s="269"/>
      <c r="I1091" s="179"/>
    </row>
    <row r="1092" spans="1:11" ht="15" hidden="1" outlineLevel="1">
      <c r="A1092" s="225">
        <v>42370</v>
      </c>
      <c r="B1092" s="218" t="s">
        <v>1056</v>
      </c>
      <c r="C1092" s="218" t="s">
        <v>1052</v>
      </c>
      <c r="D1092" s="216" t="s">
        <v>1057</v>
      </c>
      <c r="E1092" s="216"/>
      <c r="F1092" s="216"/>
      <c r="G1092" s="216"/>
      <c r="H1092" s="245">
        <v>0</v>
      </c>
      <c r="I1092" s="230"/>
      <c r="J1092" s="199" t="s">
        <v>192</v>
      </c>
      <c r="K1092" s="199"/>
    </row>
    <row r="1093" spans="1:11" ht="15" hidden="1" outlineLevel="1">
      <c r="A1093" s="212">
        <v>42488</v>
      </c>
      <c r="B1093" s="213" t="s">
        <v>1056</v>
      </c>
      <c r="C1093" s="213" t="s">
        <v>899</v>
      </c>
      <c r="D1093" s="215" t="s">
        <v>1130</v>
      </c>
      <c r="E1093" s="215"/>
      <c r="F1093" s="215"/>
      <c r="G1093" s="215"/>
      <c r="H1093" s="239">
        <v>0</v>
      </c>
      <c r="I1093" s="230" t="s">
        <v>1005</v>
      </c>
      <c r="J1093" s="199" t="s">
        <v>104</v>
      </c>
      <c r="K1093" s="199"/>
    </row>
    <row r="1094" spans="1:11" ht="15" hidden="1" outlineLevel="1">
      <c r="A1094" s="217"/>
      <c r="B1094" s="240"/>
      <c r="C1094" s="240"/>
      <c r="D1094" s="226"/>
      <c r="E1094" s="226"/>
      <c r="F1094" s="226"/>
      <c r="G1094" s="242" t="s">
        <v>1058</v>
      </c>
      <c r="H1094" s="237">
        <f>SUM(H1092:H1093)</f>
        <v>0</v>
      </c>
      <c r="I1094" s="230"/>
      <c r="J1094" s="199"/>
      <c r="K1094" s="199"/>
    </row>
    <row r="1095" spans="1:9" ht="15" hidden="1" outlineLevel="1">
      <c r="A1095" s="249"/>
      <c r="B1095" s="244"/>
      <c r="C1095" s="244"/>
      <c r="D1095" s="236"/>
      <c r="E1095" s="236"/>
      <c r="F1095" s="236"/>
      <c r="G1095" s="236"/>
      <c r="H1095" s="224"/>
      <c r="I1095" s="233"/>
    </row>
    <row r="1096" spans="1:10" s="2" customFormat="1" ht="15" collapsed="1">
      <c r="A1096" s="182">
        <v>42736</v>
      </c>
      <c r="B1096" s="183" t="s">
        <v>278</v>
      </c>
      <c r="C1096" s="183" t="s">
        <v>279</v>
      </c>
      <c r="D1096" s="184" t="s">
        <v>280</v>
      </c>
      <c r="E1096" s="184"/>
      <c r="F1096" s="184"/>
      <c r="G1096" s="184"/>
      <c r="H1096" s="186">
        <v>-678121</v>
      </c>
      <c r="I1096" s="187"/>
      <c r="J1096" s="2" t="s">
        <v>192</v>
      </c>
    </row>
    <row r="1097" spans="1:9" s="2" customFormat="1" ht="15">
      <c r="A1097" s="188"/>
      <c r="B1097" s="189"/>
      <c r="C1097" s="189"/>
      <c r="D1097" s="190"/>
      <c r="E1097" s="190"/>
      <c r="F1097" s="190"/>
      <c r="G1097" s="195" t="s">
        <v>281</v>
      </c>
      <c r="H1097" s="191">
        <f>SUM(H1096)</f>
        <v>-678121</v>
      </c>
      <c r="I1097" s="187"/>
    </row>
    <row r="1098" spans="1:9" s="2" customFormat="1" ht="15">
      <c r="A1098" s="188"/>
      <c r="B1098" s="189"/>
      <c r="C1098" s="189"/>
      <c r="D1098" s="190"/>
      <c r="E1098" s="190"/>
      <c r="F1098" s="190"/>
      <c r="G1098" s="195"/>
      <c r="H1098" s="191"/>
      <c r="I1098" s="187"/>
    </row>
    <row r="1099" spans="1:9" s="2" customFormat="1" ht="15">
      <c r="A1099" s="188"/>
      <c r="B1099" s="189"/>
      <c r="C1099" s="189"/>
      <c r="D1099" s="190"/>
      <c r="E1099" s="190"/>
      <c r="F1099" s="190"/>
      <c r="G1099" s="195"/>
      <c r="H1099" s="191"/>
      <c r="I1099" s="187"/>
    </row>
    <row r="1100" spans="1:10" s="2" customFormat="1" ht="15">
      <c r="A1100" s="182">
        <v>42736</v>
      </c>
      <c r="B1100" s="183" t="s">
        <v>278</v>
      </c>
      <c r="C1100" s="183" t="s">
        <v>391</v>
      </c>
      <c r="D1100" s="184" t="s">
        <v>392</v>
      </c>
      <c r="E1100" s="184"/>
      <c r="F1100" s="184"/>
      <c r="G1100" s="185"/>
      <c r="H1100" s="186">
        <v>353790</v>
      </c>
      <c r="I1100" s="187"/>
      <c r="J1100" s="2" t="s">
        <v>192</v>
      </c>
    </row>
    <row r="1101" spans="1:9" s="2" customFormat="1" ht="15">
      <c r="A1101" s="188"/>
      <c r="B1101" s="189"/>
      <c r="C1101" s="189"/>
      <c r="D1101" s="190"/>
      <c r="E1101" s="190"/>
      <c r="F1101" s="190"/>
      <c r="G1101" s="195" t="s">
        <v>394</v>
      </c>
      <c r="H1101" s="191">
        <f>SUM(H1100)</f>
        <v>353790</v>
      </c>
      <c r="I1101" s="187"/>
    </row>
    <row r="1102" spans="1:9" s="2" customFormat="1" ht="15">
      <c r="A1102" s="188"/>
      <c r="B1102" s="189"/>
      <c r="C1102" s="189"/>
      <c r="D1102" s="190"/>
      <c r="E1102" s="190"/>
      <c r="F1102" s="190"/>
      <c r="G1102" s="195"/>
      <c r="H1102" s="191"/>
      <c r="I1102" s="187"/>
    </row>
    <row r="1103" spans="1:9" s="2" customFormat="1" ht="15">
      <c r="A1103" s="188"/>
      <c r="B1103" s="189"/>
      <c r="C1103" s="189"/>
      <c r="D1103" s="190"/>
      <c r="E1103" s="190"/>
      <c r="F1103" s="190"/>
      <c r="G1103" s="195" t="s">
        <v>393</v>
      </c>
      <c r="H1103" s="191">
        <f>H1097+H1101</f>
        <v>-324331</v>
      </c>
      <c r="I1103" s="187"/>
    </row>
    <row r="1104" spans="1:14" s="199" customFormat="1" ht="15" hidden="1" outlineLevel="1">
      <c r="A1104" s="217"/>
      <c r="B1104" s="240"/>
      <c r="C1104" s="240"/>
      <c r="D1104" s="226"/>
      <c r="E1104" s="226"/>
      <c r="F1104" s="226"/>
      <c r="G1104" s="242"/>
      <c r="H1104" s="237"/>
      <c r="I1104" s="230"/>
      <c r="N1104" s="2"/>
    </row>
    <row r="1105" spans="1:14" s="199" customFormat="1" ht="15" hidden="1" outlineLevel="1">
      <c r="A1105" s="212">
        <v>42370</v>
      </c>
      <c r="B1105" s="213" t="s">
        <v>282</v>
      </c>
      <c r="C1105" s="213" t="s">
        <v>279</v>
      </c>
      <c r="D1105" s="215" t="s">
        <v>283</v>
      </c>
      <c r="E1105" s="215"/>
      <c r="F1105" s="215"/>
      <c r="G1105" s="222"/>
      <c r="H1105" s="239">
        <v>0</v>
      </c>
      <c r="I1105" s="230"/>
      <c r="J1105" s="199" t="s">
        <v>192</v>
      </c>
      <c r="N1105" s="2"/>
    </row>
    <row r="1106" spans="1:14" s="199" customFormat="1" ht="15" hidden="1" outlineLevel="1">
      <c r="A1106" s="217"/>
      <c r="B1106" s="240"/>
      <c r="C1106" s="240"/>
      <c r="D1106" s="226"/>
      <c r="E1106" s="226"/>
      <c r="F1106" s="226"/>
      <c r="G1106" s="242" t="s">
        <v>284</v>
      </c>
      <c r="H1106" s="237">
        <f>SUM(H1105)</f>
        <v>0</v>
      </c>
      <c r="I1106" s="230"/>
      <c r="N1106" s="2"/>
    </row>
    <row r="1107" spans="1:9" s="2" customFormat="1" ht="15" collapsed="1">
      <c r="A1107" s="188"/>
      <c r="B1107" s="189"/>
      <c r="C1107" s="189"/>
      <c r="D1107" s="190"/>
      <c r="E1107" s="190"/>
      <c r="F1107" s="190"/>
      <c r="G1107" s="195"/>
      <c r="H1107" s="191"/>
      <c r="I1107" s="187"/>
    </row>
    <row r="1108" spans="1:10" s="2" customFormat="1" ht="15">
      <c r="A1108" s="182">
        <v>42736</v>
      </c>
      <c r="B1108" s="183" t="s">
        <v>285</v>
      </c>
      <c r="C1108" s="183" t="s">
        <v>279</v>
      </c>
      <c r="D1108" s="184" t="s">
        <v>286</v>
      </c>
      <c r="E1108" s="184"/>
      <c r="F1108" s="184"/>
      <c r="G1108" s="185"/>
      <c r="H1108" s="186">
        <v>58753</v>
      </c>
      <c r="I1108" s="187"/>
      <c r="J1108" s="2" t="s">
        <v>192</v>
      </c>
    </row>
    <row r="1109" spans="1:9" s="2" customFormat="1" ht="15">
      <c r="A1109" s="188"/>
      <c r="B1109" s="189"/>
      <c r="C1109" s="189"/>
      <c r="D1109" s="190"/>
      <c r="E1109" s="190"/>
      <c r="F1109" s="190"/>
      <c r="G1109" s="195" t="s">
        <v>287</v>
      </c>
      <c r="H1109" s="191">
        <f>SUM(H1108)</f>
        <v>58753</v>
      </c>
      <c r="I1109" s="187"/>
    </row>
    <row r="1110" spans="1:9" s="2" customFormat="1" ht="15">
      <c r="A1110" s="188"/>
      <c r="B1110" s="189"/>
      <c r="C1110" s="189"/>
      <c r="D1110" s="190"/>
      <c r="E1110" s="190"/>
      <c r="F1110" s="190"/>
      <c r="G1110" s="195"/>
      <c r="H1110" s="191"/>
      <c r="I1110" s="187"/>
    </row>
    <row r="1111" spans="1:10" s="2" customFormat="1" ht="15">
      <c r="A1111" s="182">
        <v>42736</v>
      </c>
      <c r="B1111" s="183" t="s">
        <v>395</v>
      </c>
      <c r="C1111" s="183" t="s">
        <v>391</v>
      </c>
      <c r="D1111" s="184" t="s">
        <v>396</v>
      </c>
      <c r="E1111" s="184"/>
      <c r="F1111" s="184"/>
      <c r="G1111" s="185"/>
      <c r="H1111" s="186">
        <v>892399</v>
      </c>
      <c r="I1111" s="187"/>
      <c r="J1111" s="2" t="s">
        <v>192</v>
      </c>
    </row>
    <row r="1112" spans="1:9" s="2" customFormat="1" ht="15">
      <c r="A1112" s="188"/>
      <c r="B1112" s="189"/>
      <c r="C1112" s="189"/>
      <c r="D1112" s="190"/>
      <c r="E1112" s="190"/>
      <c r="F1112" s="190"/>
      <c r="G1112" s="195" t="s">
        <v>397</v>
      </c>
      <c r="H1112" s="191">
        <f>SUM(H1111)</f>
        <v>892399</v>
      </c>
      <c r="I1112" s="187"/>
    </row>
    <row r="1113" spans="1:9" s="2" customFormat="1" ht="15">
      <c r="A1113" s="188"/>
      <c r="B1113" s="189"/>
      <c r="C1113" s="189"/>
      <c r="D1113" s="190"/>
      <c r="E1113" s="190"/>
      <c r="F1113" s="190"/>
      <c r="G1113" s="195"/>
      <c r="H1113" s="191"/>
      <c r="I1113" s="187"/>
    </row>
    <row r="1114" spans="1:10" s="2" customFormat="1" ht="15">
      <c r="A1114" s="182">
        <v>42736</v>
      </c>
      <c r="B1114" s="183" t="s">
        <v>288</v>
      </c>
      <c r="C1114" s="183" t="s">
        <v>293</v>
      </c>
      <c r="D1114" s="184" t="s">
        <v>294</v>
      </c>
      <c r="E1114" s="184"/>
      <c r="F1114" s="184"/>
      <c r="G1114" s="185"/>
      <c r="H1114" s="186">
        <v>-1093350</v>
      </c>
      <c r="I1114" s="187"/>
      <c r="J1114" s="2" t="s">
        <v>192</v>
      </c>
    </row>
    <row r="1115" spans="1:9" s="2" customFormat="1" ht="15">
      <c r="A1115" s="188"/>
      <c r="B1115" s="189"/>
      <c r="C1115" s="189"/>
      <c r="D1115" s="190"/>
      <c r="E1115" s="190"/>
      <c r="F1115" s="190"/>
      <c r="G1115" s="195" t="s">
        <v>289</v>
      </c>
      <c r="H1115" s="191">
        <f>SUM(H1114)</f>
        <v>-1093350</v>
      </c>
      <c r="I1115" s="187"/>
    </row>
    <row r="1116" spans="1:9" s="199" customFormat="1" ht="15" hidden="1" outlineLevel="1">
      <c r="A1116" s="217"/>
      <c r="B1116" s="240"/>
      <c r="C1116" s="240"/>
      <c r="D1116" s="226"/>
      <c r="E1116" s="226"/>
      <c r="F1116" s="226"/>
      <c r="G1116" s="242"/>
      <c r="H1116" s="237"/>
      <c r="I1116" s="230"/>
    </row>
    <row r="1117" spans="1:10" s="199" customFormat="1" ht="15" hidden="1" outlineLevel="1">
      <c r="A1117" s="212">
        <v>42488</v>
      </c>
      <c r="B1117" s="213" t="s">
        <v>288</v>
      </c>
      <c r="C1117" s="213" t="s">
        <v>491</v>
      </c>
      <c r="D1117" s="215" t="s">
        <v>1015</v>
      </c>
      <c r="E1117" s="215"/>
      <c r="F1117" s="215"/>
      <c r="G1117" s="222"/>
      <c r="H1117" s="239">
        <v>0</v>
      </c>
      <c r="I1117" s="230" t="s">
        <v>1017</v>
      </c>
      <c r="J1117" s="199" t="s">
        <v>104</v>
      </c>
    </row>
    <row r="1118" spans="1:9" s="199" customFormat="1" ht="15" hidden="1" outlineLevel="1">
      <c r="A1118" s="217"/>
      <c r="B1118" s="240"/>
      <c r="C1118" s="240"/>
      <c r="D1118" s="226"/>
      <c r="E1118" s="226"/>
      <c r="F1118" s="226"/>
      <c r="G1118" s="242" t="s">
        <v>923</v>
      </c>
      <c r="H1118" s="237">
        <f>SUM(H1117:H1117)</f>
        <v>0</v>
      </c>
      <c r="I1118" s="230"/>
    </row>
    <row r="1119" spans="1:9" s="2" customFormat="1" ht="15" collapsed="1">
      <c r="A1119" s="188"/>
      <c r="B1119" s="189"/>
      <c r="C1119" s="189"/>
      <c r="D1119" s="190"/>
      <c r="E1119" s="190"/>
      <c r="F1119" s="190"/>
      <c r="G1119" s="195"/>
      <c r="H1119" s="191"/>
      <c r="I1119" s="187"/>
    </row>
    <row r="1120" spans="1:10" s="2" customFormat="1" ht="15">
      <c r="A1120" s="182">
        <v>42736</v>
      </c>
      <c r="B1120" s="183" t="s">
        <v>288</v>
      </c>
      <c r="C1120" s="183" t="s">
        <v>399</v>
      </c>
      <c r="D1120" s="184" t="s">
        <v>1039</v>
      </c>
      <c r="E1120" s="184"/>
      <c r="F1120" s="184"/>
      <c r="G1120" s="185"/>
      <c r="H1120" s="186">
        <v>759813</v>
      </c>
      <c r="I1120" s="187"/>
      <c r="J1120" s="2" t="s">
        <v>192</v>
      </c>
    </row>
    <row r="1121" spans="1:9" s="2" customFormat="1" ht="15">
      <c r="A1121" s="188"/>
      <c r="B1121" s="189"/>
      <c r="C1121" s="189"/>
      <c r="D1121" s="190"/>
      <c r="E1121" s="190"/>
      <c r="F1121" s="190"/>
      <c r="G1121" s="195" t="s">
        <v>1040</v>
      </c>
      <c r="H1121" s="191">
        <f>SUM(H1120)</f>
        <v>759813</v>
      </c>
      <c r="I1121" s="187"/>
    </row>
    <row r="1122" spans="1:9" s="2" customFormat="1" ht="15">
      <c r="A1122" s="188"/>
      <c r="B1122" s="189"/>
      <c r="C1122" s="189"/>
      <c r="D1122" s="190"/>
      <c r="E1122" s="190"/>
      <c r="F1122" s="190"/>
      <c r="G1122" s="195"/>
      <c r="H1122" s="191"/>
      <c r="I1122" s="187"/>
    </row>
    <row r="1123" spans="1:9" s="2" customFormat="1" ht="15">
      <c r="A1123" s="188"/>
      <c r="B1123" s="189"/>
      <c r="C1123" s="189"/>
      <c r="D1123" s="190"/>
      <c r="E1123" s="190"/>
      <c r="F1123" s="190"/>
      <c r="G1123" s="195" t="s">
        <v>1016</v>
      </c>
      <c r="H1123" s="191">
        <f>H1115+H1118+H1121</f>
        <v>-333537</v>
      </c>
      <c r="I1123" s="187"/>
    </row>
    <row r="1124" spans="1:9" s="199" customFormat="1" ht="15" hidden="1" outlineLevel="1">
      <c r="A1124" s="217"/>
      <c r="B1124" s="240"/>
      <c r="C1124" s="240"/>
      <c r="D1124" s="226"/>
      <c r="E1124" s="226"/>
      <c r="F1124" s="226"/>
      <c r="G1124" s="242"/>
      <c r="H1124" s="237"/>
      <c r="I1124" s="230"/>
    </row>
    <row r="1125" spans="1:10" s="199" customFormat="1" ht="15" hidden="1" outlineLevel="1">
      <c r="A1125" s="212">
        <v>42370</v>
      </c>
      <c r="B1125" s="213" t="s">
        <v>290</v>
      </c>
      <c r="C1125" s="213" t="s">
        <v>402</v>
      </c>
      <c r="D1125" s="215" t="s">
        <v>1041</v>
      </c>
      <c r="E1125" s="215"/>
      <c r="F1125" s="215"/>
      <c r="G1125" s="222"/>
      <c r="H1125" s="239">
        <v>0</v>
      </c>
      <c r="I1125" s="230"/>
      <c r="J1125" s="199" t="s">
        <v>192</v>
      </c>
    </row>
    <row r="1126" spans="1:9" s="199" customFormat="1" ht="15" hidden="1" outlineLevel="1">
      <c r="A1126" s="217"/>
      <c r="B1126" s="240"/>
      <c r="C1126" s="240"/>
      <c r="D1126" s="226"/>
      <c r="E1126" s="226"/>
      <c r="F1126" s="226"/>
      <c r="G1126" s="242" t="s">
        <v>1042</v>
      </c>
      <c r="H1126" s="237">
        <f>SUM(H1125)</f>
        <v>0</v>
      </c>
      <c r="I1126" s="230"/>
    </row>
    <row r="1127" spans="1:9" s="199" customFormat="1" ht="15" hidden="1" outlineLevel="1">
      <c r="A1127" s="217"/>
      <c r="B1127" s="240"/>
      <c r="C1127" s="240"/>
      <c r="D1127" s="226"/>
      <c r="E1127" s="226"/>
      <c r="F1127" s="226"/>
      <c r="G1127" s="242"/>
      <c r="H1127" s="237"/>
      <c r="I1127" s="230"/>
    </row>
    <row r="1128" spans="1:10" s="199" customFormat="1" ht="15" hidden="1" outlineLevel="1">
      <c r="A1128" s="217">
        <v>42370</v>
      </c>
      <c r="B1128" s="240" t="s">
        <v>290</v>
      </c>
      <c r="C1128" s="240" t="s">
        <v>293</v>
      </c>
      <c r="D1128" s="226" t="s">
        <v>295</v>
      </c>
      <c r="E1128" s="226"/>
      <c r="F1128" s="226"/>
      <c r="G1128" s="242"/>
      <c r="H1128" s="237">
        <v>0</v>
      </c>
      <c r="I1128" s="230"/>
      <c r="J1128" s="199" t="s">
        <v>192</v>
      </c>
    </row>
    <row r="1129" spans="1:10" s="199" customFormat="1" ht="15" hidden="1" outlineLevel="1">
      <c r="A1129" s="225">
        <v>42370</v>
      </c>
      <c r="B1129" s="218" t="s">
        <v>290</v>
      </c>
      <c r="C1129" s="218" t="s">
        <v>279</v>
      </c>
      <c r="D1129" s="216" t="s">
        <v>291</v>
      </c>
      <c r="E1129" s="216"/>
      <c r="F1129" s="216"/>
      <c r="G1129" s="207"/>
      <c r="H1129" s="245">
        <v>0</v>
      </c>
      <c r="I1129" s="230"/>
      <c r="J1129" s="199" t="s">
        <v>192</v>
      </c>
    </row>
    <row r="1130" spans="1:10" s="199" customFormat="1" ht="15" hidden="1" outlineLevel="1">
      <c r="A1130" s="212">
        <v>42370</v>
      </c>
      <c r="B1130" s="213" t="s">
        <v>290</v>
      </c>
      <c r="C1130" s="213" t="s">
        <v>293</v>
      </c>
      <c r="D1130" s="215" t="s">
        <v>1111</v>
      </c>
      <c r="E1130" s="215"/>
      <c r="F1130" s="215"/>
      <c r="G1130" s="222"/>
      <c r="H1130" s="239">
        <v>0</v>
      </c>
      <c r="I1130" s="230"/>
      <c r="J1130" s="199" t="s">
        <v>192</v>
      </c>
    </row>
    <row r="1131" spans="1:9" s="199" customFormat="1" ht="15" hidden="1" outlineLevel="1">
      <c r="A1131" s="217"/>
      <c r="B1131" s="240"/>
      <c r="C1131" s="240"/>
      <c r="D1131" s="226"/>
      <c r="E1131" s="226"/>
      <c r="F1131" s="226"/>
      <c r="G1131" s="242" t="s">
        <v>292</v>
      </c>
      <c r="H1131" s="237">
        <f>SUM(H1128:H1130)</f>
        <v>0</v>
      </c>
      <c r="I1131" s="230"/>
    </row>
    <row r="1132" spans="1:9" s="2" customFormat="1" ht="15" collapsed="1">
      <c r="A1132" s="188"/>
      <c r="B1132" s="189"/>
      <c r="C1132" s="189"/>
      <c r="D1132" s="190"/>
      <c r="E1132" s="190"/>
      <c r="F1132" s="190"/>
      <c r="G1132" s="195"/>
      <c r="H1132" s="191"/>
      <c r="I1132" s="187"/>
    </row>
    <row r="1133" spans="1:10" s="2" customFormat="1" ht="15">
      <c r="A1133" s="182">
        <v>42736</v>
      </c>
      <c r="B1133" s="183" t="s">
        <v>290</v>
      </c>
      <c r="C1133" s="183" t="s">
        <v>1197</v>
      </c>
      <c r="D1133" s="184" t="s">
        <v>1653</v>
      </c>
      <c r="E1133" s="184"/>
      <c r="F1133" s="184"/>
      <c r="G1133" s="185"/>
      <c r="H1133" s="186">
        <v>1290000</v>
      </c>
      <c r="I1133" s="187"/>
      <c r="J1133" s="2" t="s">
        <v>192</v>
      </c>
    </row>
    <row r="1134" spans="1:9" s="2" customFormat="1" ht="15">
      <c r="A1134" s="188"/>
      <c r="B1134" s="189"/>
      <c r="C1134" s="189"/>
      <c r="D1134" s="190"/>
      <c r="E1134" s="190"/>
      <c r="F1134" s="190"/>
      <c r="G1134" s="195" t="s">
        <v>700</v>
      </c>
      <c r="H1134" s="191">
        <f>SUM(H1133)</f>
        <v>1290000</v>
      </c>
      <c r="I1134" s="187"/>
    </row>
    <row r="1135" spans="1:9" s="2" customFormat="1" ht="15">
      <c r="A1135" s="188"/>
      <c r="B1135" s="189"/>
      <c r="C1135" s="189"/>
      <c r="D1135" s="190"/>
      <c r="E1135" s="190"/>
      <c r="F1135" s="190"/>
      <c r="G1135" s="195"/>
      <c r="H1135" s="191"/>
      <c r="I1135" s="187"/>
    </row>
    <row r="1136" spans="1:9" s="2" customFormat="1" ht="15">
      <c r="A1136" s="188"/>
      <c r="B1136" s="189"/>
      <c r="C1136" s="189"/>
      <c r="D1136" s="190"/>
      <c r="E1136" s="190"/>
      <c r="F1136" s="190"/>
      <c r="G1136" s="195" t="s">
        <v>701</v>
      </c>
      <c r="H1136" s="191">
        <f>H1126+H1131+H1134</f>
        <v>1290000</v>
      </c>
      <c r="I1136" s="187"/>
    </row>
    <row r="1137" spans="1:9" s="199" customFormat="1" ht="15" hidden="1" outlineLevel="1">
      <c r="A1137" s="217"/>
      <c r="B1137" s="240"/>
      <c r="C1137" s="240"/>
      <c r="D1137" s="226"/>
      <c r="E1137" s="226"/>
      <c r="F1137" s="226"/>
      <c r="G1137" s="242"/>
      <c r="H1137" s="237"/>
      <c r="I1137" s="230"/>
    </row>
    <row r="1138" spans="1:10" s="199" customFormat="1" ht="15" hidden="1" outlineLevel="1">
      <c r="A1138" s="212">
        <v>42370</v>
      </c>
      <c r="B1138" s="213" t="s">
        <v>296</v>
      </c>
      <c r="C1138" s="213" t="s">
        <v>293</v>
      </c>
      <c r="D1138" s="215" t="s">
        <v>297</v>
      </c>
      <c r="E1138" s="215"/>
      <c r="F1138" s="215"/>
      <c r="G1138" s="222"/>
      <c r="H1138" s="239">
        <v>0</v>
      </c>
      <c r="I1138" s="230"/>
      <c r="J1138" s="199" t="s">
        <v>192</v>
      </c>
    </row>
    <row r="1139" spans="1:9" s="199" customFormat="1" ht="15" hidden="1" outlineLevel="1">
      <c r="A1139" s="217"/>
      <c r="B1139" s="240"/>
      <c r="C1139" s="240"/>
      <c r="D1139" s="226"/>
      <c r="E1139" s="226"/>
      <c r="F1139" s="226"/>
      <c r="G1139" s="242" t="s">
        <v>298</v>
      </c>
      <c r="H1139" s="237">
        <f>SUM(H1138)</f>
        <v>0</v>
      </c>
      <c r="I1139" s="230"/>
    </row>
    <row r="1140" spans="1:9" s="199" customFormat="1" ht="15" hidden="1" outlineLevel="1">
      <c r="A1140" s="217"/>
      <c r="B1140" s="240"/>
      <c r="C1140" s="240"/>
      <c r="D1140" s="226"/>
      <c r="E1140" s="226"/>
      <c r="F1140" s="226"/>
      <c r="G1140" s="242"/>
      <c r="H1140" s="237"/>
      <c r="I1140" s="230"/>
    </row>
    <row r="1141" spans="1:10" s="199" customFormat="1" ht="15" hidden="1" outlineLevel="1">
      <c r="A1141" s="212">
        <v>42658</v>
      </c>
      <c r="B1141" s="213" t="s">
        <v>296</v>
      </c>
      <c r="C1141" s="213" t="s">
        <v>874</v>
      </c>
      <c r="D1141" s="215" t="s">
        <v>822</v>
      </c>
      <c r="E1141" s="215"/>
      <c r="F1141" s="215"/>
      <c r="G1141" s="222"/>
      <c r="H1141" s="239">
        <v>0</v>
      </c>
      <c r="I1141" s="230"/>
      <c r="J1141" s="199" t="s">
        <v>1358</v>
      </c>
    </row>
    <row r="1142" spans="1:9" s="199" customFormat="1" ht="15" hidden="1" outlineLevel="1">
      <c r="A1142" s="217"/>
      <c r="B1142" s="240"/>
      <c r="C1142" s="240"/>
      <c r="D1142" s="226"/>
      <c r="E1142" s="226"/>
      <c r="F1142" s="226"/>
      <c r="G1142" s="242" t="s">
        <v>1383</v>
      </c>
      <c r="H1142" s="237">
        <f>SUM(H1141)</f>
        <v>0</v>
      </c>
      <c r="I1142" s="230"/>
    </row>
    <row r="1143" spans="1:9" s="199" customFormat="1" ht="15" hidden="1" outlineLevel="1">
      <c r="A1143" s="217"/>
      <c r="B1143" s="240"/>
      <c r="C1143" s="240"/>
      <c r="D1143" s="226"/>
      <c r="E1143" s="226"/>
      <c r="F1143" s="226"/>
      <c r="G1143" s="242"/>
      <c r="H1143" s="237"/>
      <c r="I1143" s="230"/>
    </row>
    <row r="1144" spans="1:10" s="199" customFormat="1" ht="15" hidden="1" outlineLevel="1">
      <c r="A1144" s="225">
        <v>42658</v>
      </c>
      <c r="B1144" s="218" t="s">
        <v>296</v>
      </c>
      <c r="C1144" s="218" t="s">
        <v>821</v>
      </c>
      <c r="D1144" s="216" t="s">
        <v>822</v>
      </c>
      <c r="E1144" s="216"/>
      <c r="F1144" s="216"/>
      <c r="G1144" s="207"/>
      <c r="H1144" s="245">
        <v>0</v>
      </c>
      <c r="I1144" s="230"/>
      <c r="J1144" s="199" t="s">
        <v>1358</v>
      </c>
    </row>
    <row r="1145" spans="1:10" s="199" customFormat="1" ht="15" hidden="1" outlineLevel="1">
      <c r="A1145" s="212">
        <v>42346</v>
      </c>
      <c r="B1145" s="213" t="s">
        <v>296</v>
      </c>
      <c r="C1145" s="213" t="s">
        <v>825</v>
      </c>
      <c r="D1145" s="215" t="s">
        <v>826</v>
      </c>
      <c r="E1145" s="215"/>
      <c r="F1145" s="215"/>
      <c r="G1145" s="222"/>
      <c r="H1145" s="239">
        <v>0</v>
      </c>
      <c r="I1145" s="230"/>
      <c r="J1145" s="199" t="s">
        <v>824</v>
      </c>
    </row>
    <row r="1146" spans="1:9" s="199" customFormat="1" ht="15" hidden="1" outlineLevel="1">
      <c r="A1146" s="217"/>
      <c r="B1146" s="240"/>
      <c r="C1146" s="240"/>
      <c r="D1146" s="226"/>
      <c r="E1146" s="226"/>
      <c r="F1146" s="226"/>
      <c r="G1146" s="242" t="s">
        <v>823</v>
      </c>
      <c r="H1146" s="237">
        <f>SUM(H1144:H1145)</f>
        <v>0</v>
      </c>
      <c r="I1146" s="230"/>
    </row>
    <row r="1147" spans="1:9" s="199" customFormat="1" ht="15" hidden="1" outlineLevel="1">
      <c r="A1147" s="217"/>
      <c r="B1147" s="240"/>
      <c r="C1147" s="240"/>
      <c r="D1147" s="226"/>
      <c r="E1147" s="226"/>
      <c r="F1147" s="226"/>
      <c r="G1147" s="242"/>
      <c r="H1147" s="237"/>
      <c r="I1147" s="230"/>
    </row>
    <row r="1148" spans="1:9" s="199" customFormat="1" ht="15" hidden="1" outlineLevel="1">
      <c r="A1148" s="217"/>
      <c r="B1148" s="240"/>
      <c r="C1148" s="240"/>
      <c r="D1148" s="226"/>
      <c r="E1148" s="226"/>
      <c r="F1148" s="226"/>
      <c r="G1148" s="242" t="s">
        <v>827</v>
      </c>
      <c r="H1148" s="237">
        <f>H1139+H1142+H1146</f>
        <v>0</v>
      </c>
      <c r="I1148" s="230"/>
    </row>
    <row r="1149" spans="1:9" s="199" customFormat="1" ht="15" hidden="1" outlineLevel="1">
      <c r="A1149" s="217"/>
      <c r="B1149" s="240"/>
      <c r="C1149" s="240"/>
      <c r="D1149" s="226"/>
      <c r="E1149" s="226"/>
      <c r="F1149" s="226"/>
      <c r="G1149" s="242"/>
      <c r="H1149" s="237"/>
      <c r="I1149" s="230"/>
    </row>
    <row r="1150" spans="1:10" s="199" customFormat="1" ht="15" hidden="1" outlineLevel="1">
      <c r="A1150" s="212">
        <v>42370</v>
      </c>
      <c r="B1150" s="213" t="s">
        <v>299</v>
      </c>
      <c r="C1150" s="213" t="s">
        <v>293</v>
      </c>
      <c r="D1150" s="215" t="s">
        <v>300</v>
      </c>
      <c r="E1150" s="215"/>
      <c r="F1150" s="215"/>
      <c r="G1150" s="222"/>
      <c r="H1150" s="239">
        <v>0</v>
      </c>
      <c r="I1150" s="230"/>
      <c r="J1150" s="199" t="s">
        <v>192</v>
      </c>
    </row>
    <row r="1151" spans="1:9" s="199" customFormat="1" ht="15" hidden="1" outlineLevel="1">
      <c r="A1151" s="217"/>
      <c r="B1151" s="240"/>
      <c r="C1151" s="240"/>
      <c r="D1151" s="226"/>
      <c r="E1151" s="226"/>
      <c r="F1151" s="226"/>
      <c r="G1151" s="242" t="s">
        <v>301</v>
      </c>
      <c r="H1151" s="237">
        <f>SUM(H1150)</f>
        <v>0</v>
      </c>
      <c r="I1151" s="230"/>
    </row>
    <row r="1152" spans="1:9" s="199" customFormat="1" ht="15" hidden="1" outlineLevel="1">
      <c r="A1152" s="217"/>
      <c r="B1152" s="240"/>
      <c r="C1152" s="240"/>
      <c r="D1152" s="226"/>
      <c r="E1152" s="226"/>
      <c r="F1152" s="226"/>
      <c r="G1152" s="242"/>
      <c r="H1152" s="237"/>
      <c r="I1152" s="230"/>
    </row>
    <row r="1153" spans="1:10" s="199" customFormat="1" ht="15" hidden="1" outlineLevel="1">
      <c r="A1153" s="212">
        <v>42658</v>
      </c>
      <c r="B1153" s="213" t="s">
        <v>299</v>
      </c>
      <c r="C1153" s="213" t="s">
        <v>821</v>
      </c>
      <c r="D1153" s="215" t="s">
        <v>1393</v>
      </c>
      <c r="E1153" s="215"/>
      <c r="F1153" s="215"/>
      <c r="G1153" s="222"/>
      <c r="H1153" s="239">
        <v>0</v>
      </c>
      <c r="I1153" s="230"/>
      <c r="J1153" s="199" t="s">
        <v>1358</v>
      </c>
    </row>
    <row r="1154" spans="1:9" s="199" customFormat="1" ht="15" hidden="1" outlineLevel="1">
      <c r="A1154" s="217"/>
      <c r="B1154" s="240"/>
      <c r="C1154" s="240"/>
      <c r="D1154" s="226"/>
      <c r="E1154" s="226"/>
      <c r="F1154" s="226"/>
      <c r="G1154" s="242" t="s">
        <v>1394</v>
      </c>
      <c r="H1154" s="237">
        <f>SUM(H1153)</f>
        <v>0</v>
      </c>
      <c r="I1154" s="230"/>
    </row>
    <row r="1155" spans="1:9" s="199" customFormat="1" ht="15" hidden="1" outlineLevel="1">
      <c r="A1155" s="217"/>
      <c r="B1155" s="240"/>
      <c r="C1155" s="240"/>
      <c r="D1155" s="226"/>
      <c r="E1155" s="226"/>
      <c r="F1155" s="226"/>
      <c r="G1155" s="242"/>
      <c r="H1155" s="237"/>
      <c r="I1155" s="230"/>
    </row>
    <row r="1156" spans="1:9" s="199" customFormat="1" ht="15" hidden="1" outlineLevel="1">
      <c r="A1156" s="217"/>
      <c r="B1156" s="240"/>
      <c r="C1156" s="240"/>
      <c r="D1156" s="226"/>
      <c r="E1156" s="226"/>
      <c r="F1156" s="226"/>
      <c r="G1156" s="242" t="s">
        <v>1395</v>
      </c>
      <c r="H1156" s="237">
        <f>H1151+H1154</f>
        <v>0</v>
      </c>
      <c r="I1156" s="230"/>
    </row>
    <row r="1157" spans="1:9" s="199" customFormat="1" ht="15" hidden="1" outlineLevel="1">
      <c r="A1157" s="217"/>
      <c r="B1157" s="240"/>
      <c r="C1157" s="240"/>
      <c r="D1157" s="226"/>
      <c r="E1157" s="226"/>
      <c r="F1157" s="226"/>
      <c r="G1157" s="242"/>
      <c r="H1157" s="237"/>
      <c r="I1157" s="230"/>
    </row>
    <row r="1158" spans="1:10" s="199" customFormat="1" ht="15" hidden="1" outlineLevel="1">
      <c r="A1158" s="212">
        <v>42658</v>
      </c>
      <c r="B1158" s="213" t="s">
        <v>398</v>
      </c>
      <c r="C1158" s="213" t="s">
        <v>874</v>
      </c>
      <c r="D1158" s="215" t="s">
        <v>1377</v>
      </c>
      <c r="E1158" s="215"/>
      <c r="F1158" s="215"/>
      <c r="G1158" s="222"/>
      <c r="H1158" s="239">
        <v>0</v>
      </c>
      <c r="I1158" s="230"/>
      <c r="J1158" s="199" t="s">
        <v>1358</v>
      </c>
    </row>
    <row r="1159" spans="1:9" s="199" customFormat="1" ht="15" hidden="1" outlineLevel="1">
      <c r="A1159" s="217"/>
      <c r="B1159" s="240"/>
      <c r="C1159" s="240"/>
      <c r="D1159" s="226"/>
      <c r="E1159" s="226"/>
      <c r="F1159" s="226"/>
      <c r="G1159" s="242" t="s">
        <v>1378</v>
      </c>
      <c r="H1159" s="237">
        <f>SUM(H1158:H1158)</f>
        <v>0</v>
      </c>
      <c r="I1159" s="230"/>
    </row>
    <row r="1160" spans="1:9" s="199" customFormat="1" ht="15" hidden="1" outlineLevel="1">
      <c r="A1160" s="217"/>
      <c r="B1160" s="240"/>
      <c r="C1160" s="240"/>
      <c r="D1160" s="226"/>
      <c r="E1160" s="226"/>
      <c r="F1160" s="226"/>
      <c r="G1160" s="242"/>
      <c r="H1160" s="237"/>
      <c r="I1160" s="230"/>
    </row>
    <row r="1161" spans="1:10" s="199" customFormat="1" ht="15" hidden="1" outlineLevel="1">
      <c r="A1161" s="212">
        <v>42658</v>
      </c>
      <c r="B1161" s="213" t="s">
        <v>398</v>
      </c>
      <c r="C1161" s="213" t="s">
        <v>821</v>
      </c>
      <c r="D1161" s="215" t="s">
        <v>1377</v>
      </c>
      <c r="E1161" s="215"/>
      <c r="F1161" s="215"/>
      <c r="G1161" s="222"/>
      <c r="H1161" s="239">
        <v>0</v>
      </c>
      <c r="I1161" s="230"/>
      <c r="J1161" s="199" t="s">
        <v>1358</v>
      </c>
    </row>
    <row r="1162" spans="1:9" s="199" customFormat="1" ht="15" hidden="1" outlineLevel="1">
      <c r="A1162" s="217"/>
      <c r="B1162" s="240"/>
      <c r="C1162" s="240"/>
      <c r="D1162" s="226"/>
      <c r="E1162" s="226"/>
      <c r="F1162" s="226"/>
      <c r="G1162" s="242" t="s">
        <v>828</v>
      </c>
      <c r="H1162" s="237">
        <f>SUM(H1161:H1161)</f>
        <v>0</v>
      </c>
      <c r="I1162" s="230"/>
    </row>
    <row r="1163" spans="1:9" s="199" customFormat="1" ht="15" hidden="1" outlineLevel="1">
      <c r="A1163" s="217"/>
      <c r="B1163" s="240"/>
      <c r="C1163" s="240"/>
      <c r="D1163" s="226"/>
      <c r="E1163" s="226"/>
      <c r="F1163" s="226"/>
      <c r="G1163" s="242"/>
      <c r="H1163" s="237"/>
      <c r="I1163" s="230"/>
    </row>
    <row r="1164" spans="1:10" s="199" customFormat="1" ht="15" hidden="1" outlineLevel="1">
      <c r="A1164" s="212">
        <v>42370</v>
      </c>
      <c r="B1164" s="213" t="s">
        <v>398</v>
      </c>
      <c r="C1164" s="213" t="s">
        <v>399</v>
      </c>
      <c r="D1164" s="215" t="s">
        <v>400</v>
      </c>
      <c r="E1164" s="215"/>
      <c r="F1164" s="215"/>
      <c r="G1164" s="222"/>
      <c r="H1164" s="239">
        <v>0</v>
      </c>
      <c r="I1164" s="230"/>
      <c r="J1164" s="199" t="s">
        <v>192</v>
      </c>
    </row>
    <row r="1165" spans="1:9" s="199" customFormat="1" ht="15" hidden="1" outlineLevel="1">
      <c r="A1165" s="217"/>
      <c r="B1165" s="240"/>
      <c r="C1165" s="240"/>
      <c r="D1165" s="226"/>
      <c r="E1165" s="226"/>
      <c r="F1165" s="226"/>
      <c r="G1165" s="242" t="s">
        <v>436</v>
      </c>
      <c r="H1165" s="237">
        <f>SUM(H1164)</f>
        <v>0</v>
      </c>
      <c r="I1165" s="230"/>
    </row>
    <row r="1166" spans="1:9" s="199" customFormat="1" ht="15" hidden="1" outlineLevel="1">
      <c r="A1166" s="217"/>
      <c r="B1166" s="240"/>
      <c r="C1166" s="240"/>
      <c r="D1166" s="226"/>
      <c r="E1166" s="226"/>
      <c r="F1166" s="226"/>
      <c r="G1166" s="242"/>
      <c r="H1166" s="237"/>
      <c r="I1166" s="230"/>
    </row>
    <row r="1167" spans="1:9" s="199" customFormat="1" ht="15" hidden="1" outlineLevel="1">
      <c r="A1167" s="217"/>
      <c r="B1167" s="240"/>
      <c r="C1167" s="240"/>
      <c r="D1167" s="226"/>
      <c r="E1167" s="226"/>
      <c r="F1167" s="226"/>
      <c r="G1167" s="242" t="s">
        <v>829</v>
      </c>
      <c r="H1167" s="237">
        <f>H1159+H1162+H1165</f>
        <v>0</v>
      </c>
      <c r="I1167" s="230"/>
    </row>
    <row r="1168" spans="1:9" s="2" customFormat="1" ht="15" collapsed="1">
      <c r="A1168" s="188"/>
      <c r="B1168" s="189"/>
      <c r="C1168" s="189"/>
      <c r="D1168" s="190"/>
      <c r="E1168" s="190"/>
      <c r="F1168" s="190"/>
      <c r="G1168" s="195"/>
      <c r="H1168" s="191"/>
      <c r="I1168" s="187"/>
    </row>
    <row r="1169" spans="1:14" s="2" customFormat="1" ht="15">
      <c r="A1169" s="182">
        <v>42736</v>
      </c>
      <c r="B1169" s="183" t="s">
        <v>1112</v>
      </c>
      <c r="C1169" s="183" t="s">
        <v>279</v>
      </c>
      <c r="D1169" s="184" t="s">
        <v>1654</v>
      </c>
      <c r="E1169" s="184"/>
      <c r="F1169" s="184"/>
      <c r="G1169" s="185"/>
      <c r="H1169" s="186">
        <v>-452239</v>
      </c>
      <c r="I1169" s="187"/>
      <c r="J1169" s="2" t="s">
        <v>192</v>
      </c>
      <c r="N1169" s="279"/>
    </row>
    <row r="1170" spans="1:9" s="2" customFormat="1" ht="15">
      <c r="A1170" s="188"/>
      <c r="B1170" s="189"/>
      <c r="C1170" s="189"/>
      <c r="D1170" s="190"/>
      <c r="E1170" s="190"/>
      <c r="F1170" s="190"/>
      <c r="G1170" s="195" t="s">
        <v>1114</v>
      </c>
      <c r="H1170" s="191">
        <f>SUM(H1169)</f>
        <v>-452239</v>
      </c>
      <c r="I1170" s="187"/>
    </row>
    <row r="1171" spans="1:9" s="2" customFormat="1" ht="15">
      <c r="A1171" s="188"/>
      <c r="B1171" s="189"/>
      <c r="C1171" s="189"/>
      <c r="D1171" s="190"/>
      <c r="E1171" s="190"/>
      <c r="F1171" s="190"/>
      <c r="G1171" s="195"/>
      <c r="H1171" s="191"/>
      <c r="I1171" s="187"/>
    </row>
    <row r="1172" spans="1:10" s="2" customFormat="1" ht="15">
      <c r="A1172" s="182">
        <v>42736</v>
      </c>
      <c r="B1172" s="183" t="s">
        <v>1112</v>
      </c>
      <c r="C1172" s="183" t="s">
        <v>402</v>
      </c>
      <c r="D1172" s="184" t="s">
        <v>1043</v>
      </c>
      <c r="E1172" s="184"/>
      <c r="F1172" s="184"/>
      <c r="G1172" s="185"/>
      <c r="H1172" s="186">
        <v>330899</v>
      </c>
      <c r="I1172" s="187"/>
      <c r="J1172" s="2" t="s">
        <v>192</v>
      </c>
    </row>
    <row r="1173" spans="1:9" s="2" customFormat="1" ht="15">
      <c r="A1173" s="188"/>
      <c r="B1173" s="189"/>
      <c r="C1173" s="189"/>
      <c r="D1173" s="190"/>
      <c r="E1173" s="190"/>
      <c r="F1173" s="190"/>
      <c r="G1173" s="195" t="s">
        <v>1043</v>
      </c>
      <c r="H1173" s="191">
        <f>SUM(H1172)</f>
        <v>330899</v>
      </c>
      <c r="I1173" s="187"/>
    </row>
    <row r="1174" spans="1:9" s="2" customFormat="1" ht="15">
      <c r="A1174" s="188"/>
      <c r="B1174" s="189"/>
      <c r="C1174" s="189"/>
      <c r="D1174" s="190"/>
      <c r="E1174" s="190"/>
      <c r="F1174" s="190"/>
      <c r="G1174" s="195"/>
      <c r="H1174" s="191"/>
      <c r="I1174" s="187"/>
    </row>
    <row r="1175" spans="1:9" s="2" customFormat="1" ht="15">
      <c r="A1175" s="188"/>
      <c r="B1175" s="189"/>
      <c r="C1175" s="189"/>
      <c r="D1175" s="190"/>
      <c r="E1175" s="190"/>
      <c r="F1175" s="190"/>
      <c r="G1175" s="195" t="s">
        <v>1113</v>
      </c>
      <c r="H1175" s="191">
        <f>H1170+H1173</f>
        <v>-121340</v>
      </c>
      <c r="I1175" s="187"/>
    </row>
    <row r="1176" spans="1:9" s="199" customFormat="1" ht="15" hidden="1" outlineLevel="1">
      <c r="A1176" s="217"/>
      <c r="B1176" s="240"/>
      <c r="C1176" s="240"/>
      <c r="D1176" s="226"/>
      <c r="E1176" s="226"/>
      <c r="F1176" s="226"/>
      <c r="G1176" s="242"/>
      <c r="H1176" s="237"/>
      <c r="I1176" s="230"/>
    </row>
    <row r="1177" spans="1:10" s="199" customFormat="1" ht="15" hidden="1" outlineLevel="1">
      <c r="A1177" s="217">
        <v>42370</v>
      </c>
      <c r="B1177" s="240" t="s">
        <v>302</v>
      </c>
      <c r="C1177" s="240" t="s">
        <v>293</v>
      </c>
      <c r="D1177" s="226" t="s">
        <v>303</v>
      </c>
      <c r="E1177" s="226"/>
      <c r="F1177" s="226"/>
      <c r="G1177" s="242"/>
      <c r="H1177" s="237">
        <v>0</v>
      </c>
      <c r="I1177" s="230"/>
      <c r="J1177" s="199" t="s">
        <v>192</v>
      </c>
    </row>
    <row r="1178" spans="1:10" s="199" customFormat="1" ht="15" hidden="1" outlineLevel="1">
      <c r="A1178" s="212">
        <v>42370</v>
      </c>
      <c r="B1178" s="213" t="s">
        <v>302</v>
      </c>
      <c r="C1178" s="213" t="s">
        <v>279</v>
      </c>
      <c r="D1178" s="215" t="s">
        <v>304</v>
      </c>
      <c r="E1178" s="215"/>
      <c r="F1178" s="215"/>
      <c r="G1178" s="222"/>
      <c r="H1178" s="239">
        <v>0</v>
      </c>
      <c r="I1178" s="230"/>
      <c r="J1178" s="199" t="s">
        <v>192</v>
      </c>
    </row>
    <row r="1179" spans="1:9" s="199" customFormat="1" ht="15" hidden="1" outlineLevel="1">
      <c r="A1179" s="217"/>
      <c r="B1179" s="240"/>
      <c r="C1179" s="240"/>
      <c r="D1179" s="226"/>
      <c r="E1179" s="226"/>
      <c r="F1179" s="226"/>
      <c r="G1179" s="242" t="s">
        <v>305</v>
      </c>
      <c r="H1179" s="237">
        <f>SUM(H1177:H1178)</f>
        <v>0</v>
      </c>
      <c r="I1179" s="230"/>
    </row>
    <row r="1180" spans="1:9" s="199" customFormat="1" ht="15" hidden="1" outlineLevel="1">
      <c r="A1180" s="217"/>
      <c r="B1180" s="240"/>
      <c r="C1180" s="240"/>
      <c r="D1180" s="226"/>
      <c r="E1180" s="226"/>
      <c r="F1180" s="226"/>
      <c r="G1180" s="242"/>
      <c r="H1180" s="237"/>
      <c r="I1180" s="230"/>
    </row>
    <row r="1181" spans="1:10" s="199" customFormat="1" ht="15" hidden="1" outlineLevel="1">
      <c r="A1181" s="212">
        <v>42658</v>
      </c>
      <c r="B1181" s="213" t="s">
        <v>302</v>
      </c>
      <c r="C1181" s="213" t="s">
        <v>874</v>
      </c>
      <c r="D1181" s="215" t="s">
        <v>830</v>
      </c>
      <c r="E1181" s="215"/>
      <c r="F1181" s="215"/>
      <c r="G1181" s="222"/>
      <c r="H1181" s="239">
        <v>0</v>
      </c>
      <c r="I1181" s="230"/>
      <c r="J1181" s="199" t="s">
        <v>1358</v>
      </c>
    </row>
    <row r="1182" spans="1:9" s="199" customFormat="1" ht="15" hidden="1" outlineLevel="1">
      <c r="A1182" s="217"/>
      <c r="B1182" s="240"/>
      <c r="C1182" s="240"/>
      <c r="D1182" s="226"/>
      <c r="E1182" s="226"/>
      <c r="F1182" s="226"/>
      <c r="G1182" s="242" t="s">
        <v>1379</v>
      </c>
      <c r="H1182" s="237">
        <f>SUM(H1181:H1181)</f>
        <v>0</v>
      </c>
      <c r="I1182" s="230"/>
    </row>
    <row r="1183" spans="1:9" s="199" customFormat="1" ht="15" hidden="1" outlineLevel="1">
      <c r="A1183" s="217"/>
      <c r="B1183" s="240"/>
      <c r="C1183" s="240"/>
      <c r="D1183" s="226"/>
      <c r="E1183" s="226"/>
      <c r="F1183" s="226"/>
      <c r="G1183" s="242"/>
      <c r="H1183" s="237"/>
      <c r="I1183" s="230"/>
    </row>
    <row r="1184" spans="1:10" s="199" customFormat="1" ht="15" hidden="1" outlineLevel="1">
      <c r="A1184" s="212">
        <v>42658</v>
      </c>
      <c r="B1184" s="213" t="s">
        <v>302</v>
      </c>
      <c r="C1184" s="213" t="s">
        <v>821</v>
      </c>
      <c r="D1184" s="215" t="s">
        <v>830</v>
      </c>
      <c r="E1184" s="215"/>
      <c r="F1184" s="215"/>
      <c r="G1184" s="222"/>
      <c r="H1184" s="239">
        <v>0</v>
      </c>
      <c r="I1184" s="230"/>
      <c r="J1184" s="199" t="s">
        <v>1358</v>
      </c>
    </row>
    <row r="1185" spans="1:9" s="199" customFormat="1" ht="15" hidden="1" outlineLevel="1">
      <c r="A1185" s="217"/>
      <c r="B1185" s="240"/>
      <c r="C1185" s="240"/>
      <c r="D1185" s="226"/>
      <c r="E1185" s="226"/>
      <c r="F1185" s="226"/>
      <c r="G1185" s="242" t="s">
        <v>831</v>
      </c>
      <c r="H1185" s="237">
        <f>SUM(H1184:H1184)</f>
        <v>0</v>
      </c>
      <c r="I1185" s="230"/>
    </row>
    <row r="1186" spans="1:9" s="199" customFormat="1" ht="15" hidden="1" outlineLevel="1">
      <c r="A1186" s="217"/>
      <c r="B1186" s="240"/>
      <c r="C1186" s="240"/>
      <c r="D1186" s="226"/>
      <c r="E1186" s="226"/>
      <c r="F1186" s="226"/>
      <c r="G1186" s="242"/>
      <c r="H1186" s="237"/>
      <c r="I1186" s="230"/>
    </row>
    <row r="1187" spans="1:9" s="199" customFormat="1" ht="15" hidden="1" outlineLevel="1">
      <c r="A1187" s="217"/>
      <c r="B1187" s="240"/>
      <c r="C1187" s="240"/>
      <c r="D1187" s="226"/>
      <c r="E1187" s="226"/>
      <c r="F1187" s="226"/>
      <c r="G1187" s="242" t="s">
        <v>1144</v>
      </c>
      <c r="H1187" s="237">
        <f>H1179+H1182+H1185</f>
        <v>0</v>
      </c>
      <c r="I1187" s="230"/>
    </row>
    <row r="1188" spans="1:9" s="199" customFormat="1" ht="15" hidden="1" outlineLevel="1">
      <c r="A1188" s="217"/>
      <c r="B1188" s="240"/>
      <c r="C1188" s="240"/>
      <c r="D1188" s="226"/>
      <c r="E1188" s="226"/>
      <c r="F1188" s="226"/>
      <c r="G1188" s="242"/>
      <c r="H1188" s="237"/>
      <c r="I1188" s="230"/>
    </row>
    <row r="1189" spans="1:10" s="199" customFormat="1" ht="15" hidden="1" outlineLevel="1">
      <c r="A1189" s="212">
        <v>42370</v>
      </c>
      <c r="B1189" s="213" t="s">
        <v>401</v>
      </c>
      <c r="C1189" s="213" t="s">
        <v>279</v>
      </c>
      <c r="D1189" s="215" t="s">
        <v>1115</v>
      </c>
      <c r="E1189" s="215"/>
      <c r="F1189" s="215"/>
      <c r="G1189" s="222"/>
      <c r="H1189" s="239">
        <v>0</v>
      </c>
      <c r="I1189" s="230"/>
      <c r="J1189" s="199" t="s">
        <v>192</v>
      </c>
    </row>
    <row r="1190" spans="1:9" s="199" customFormat="1" ht="15" hidden="1" outlineLevel="1">
      <c r="A1190" s="217"/>
      <c r="B1190" s="240"/>
      <c r="C1190" s="240"/>
      <c r="D1190" s="226"/>
      <c r="E1190" s="226"/>
      <c r="F1190" s="226"/>
      <c r="G1190" s="242" t="s">
        <v>1116</v>
      </c>
      <c r="H1190" s="237">
        <f>SUM(H1189:H1189)</f>
        <v>0</v>
      </c>
      <c r="I1190" s="230"/>
    </row>
    <row r="1191" spans="1:9" s="199" customFormat="1" ht="15" hidden="1" outlineLevel="1">
      <c r="A1191" s="217"/>
      <c r="B1191" s="240"/>
      <c r="C1191" s="240"/>
      <c r="D1191" s="226"/>
      <c r="E1191" s="226"/>
      <c r="F1191" s="226"/>
      <c r="G1191" s="242"/>
      <c r="H1191" s="237"/>
      <c r="I1191" s="230"/>
    </row>
    <row r="1192" spans="1:10" s="199" customFormat="1" ht="15" hidden="1" outlineLevel="1">
      <c r="A1192" s="212">
        <v>42658</v>
      </c>
      <c r="B1192" s="213" t="s">
        <v>401</v>
      </c>
      <c r="C1192" s="213" t="s">
        <v>874</v>
      </c>
      <c r="D1192" s="215" t="s">
        <v>832</v>
      </c>
      <c r="E1192" s="215"/>
      <c r="F1192" s="215"/>
      <c r="G1192" s="222"/>
      <c r="H1192" s="239">
        <v>0</v>
      </c>
      <c r="I1192" s="230"/>
      <c r="J1192" s="199" t="s">
        <v>1358</v>
      </c>
    </row>
    <row r="1193" spans="1:9" s="199" customFormat="1" ht="15" hidden="1" outlineLevel="1">
      <c r="A1193" s="217"/>
      <c r="B1193" s="240"/>
      <c r="C1193" s="240"/>
      <c r="D1193" s="226"/>
      <c r="E1193" s="226"/>
      <c r="F1193" s="226"/>
      <c r="G1193" s="242" t="s">
        <v>1380</v>
      </c>
      <c r="H1193" s="237">
        <f>SUM(H1192:H1192)</f>
        <v>0</v>
      </c>
      <c r="I1193" s="230"/>
    </row>
    <row r="1194" spans="1:9" s="2" customFormat="1" ht="12" customHeight="1" collapsed="1">
      <c r="A1194" s="188"/>
      <c r="B1194" s="189"/>
      <c r="C1194" s="189"/>
      <c r="D1194" s="190"/>
      <c r="E1194" s="190"/>
      <c r="F1194" s="190"/>
      <c r="G1194" s="195"/>
      <c r="H1194" s="191"/>
      <c r="I1194" s="187"/>
    </row>
    <row r="1195" spans="1:10" s="199" customFormat="1" ht="12" customHeight="1" hidden="1" outlineLevel="1">
      <c r="A1195" s="217">
        <v>42658</v>
      </c>
      <c r="B1195" s="240" t="s">
        <v>401</v>
      </c>
      <c r="C1195" s="240" t="s">
        <v>821</v>
      </c>
      <c r="D1195" s="226" t="s">
        <v>832</v>
      </c>
      <c r="E1195" s="226"/>
      <c r="F1195" s="226"/>
      <c r="G1195" s="242"/>
      <c r="H1195" s="237">
        <v>0</v>
      </c>
      <c r="I1195" s="230"/>
      <c r="J1195" s="199" t="s">
        <v>1358</v>
      </c>
    </row>
    <row r="1196" spans="1:10" s="2" customFormat="1" ht="15" collapsed="1">
      <c r="A1196" s="182">
        <v>42736</v>
      </c>
      <c r="B1196" s="183" t="s">
        <v>401</v>
      </c>
      <c r="C1196" s="183" t="s">
        <v>1052</v>
      </c>
      <c r="D1196" s="184" t="s">
        <v>1655</v>
      </c>
      <c r="E1196" s="184"/>
      <c r="F1196" s="184"/>
      <c r="G1196" s="185"/>
      <c r="H1196" s="186">
        <v>170000</v>
      </c>
      <c r="I1196" s="187"/>
      <c r="J1196" s="2" t="s">
        <v>188</v>
      </c>
    </row>
    <row r="1197" spans="1:9" s="2" customFormat="1" ht="15">
      <c r="A1197" s="188"/>
      <c r="B1197" s="189"/>
      <c r="C1197" s="189"/>
      <c r="D1197" s="190"/>
      <c r="E1197" s="190"/>
      <c r="F1197" s="190"/>
      <c r="G1197" s="195" t="s">
        <v>833</v>
      </c>
      <c r="H1197" s="191">
        <f>SUM(H1195:H1196)</f>
        <v>170000</v>
      </c>
      <c r="I1197" s="187"/>
    </row>
    <row r="1198" spans="1:9" s="199" customFormat="1" ht="15" hidden="1" outlineLevel="1">
      <c r="A1198" s="217"/>
      <c r="B1198" s="240"/>
      <c r="C1198" s="240"/>
      <c r="D1198" s="226"/>
      <c r="E1198" s="226"/>
      <c r="F1198" s="226"/>
      <c r="G1198" s="242"/>
      <c r="H1198" s="237"/>
      <c r="I1198" s="230"/>
    </row>
    <row r="1199" spans="1:10" s="199" customFormat="1" ht="15" hidden="1" outlineLevel="1">
      <c r="A1199" s="212">
        <v>42005</v>
      </c>
      <c r="B1199" s="213" t="s">
        <v>401</v>
      </c>
      <c r="C1199" s="213" t="s">
        <v>402</v>
      </c>
      <c r="D1199" s="215" t="s">
        <v>403</v>
      </c>
      <c r="E1199" s="215"/>
      <c r="F1199" s="215"/>
      <c r="G1199" s="222"/>
      <c r="H1199" s="239">
        <v>0</v>
      </c>
      <c r="I1199" s="230"/>
      <c r="J1199" s="199" t="s">
        <v>192</v>
      </c>
    </row>
    <row r="1200" spans="1:9" s="199" customFormat="1" ht="15" hidden="1" outlineLevel="1">
      <c r="A1200" s="217"/>
      <c r="B1200" s="240"/>
      <c r="C1200" s="240"/>
      <c r="D1200" s="226"/>
      <c r="E1200" s="226"/>
      <c r="F1200" s="226"/>
      <c r="G1200" s="242" t="s">
        <v>404</v>
      </c>
      <c r="H1200" s="237">
        <f>SUM(H1199)</f>
        <v>0</v>
      </c>
      <c r="I1200" s="230"/>
    </row>
    <row r="1201" spans="1:9" s="2" customFormat="1" ht="15" collapsed="1">
      <c r="A1201" s="188"/>
      <c r="B1201" s="189"/>
      <c r="C1201" s="189"/>
      <c r="D1201" s="190"/>
      <c r="E1201" s="190"/>
      <c r="F1201" s="190"/>
      <c r="G1201" s="195"/>
      <c r="H1201" s="191"/>
      <c r="I1201" s="187"/>
    </row>
    <row r="1202" spans="1:9" s="2" customFormat="1" ht="15">
      <c r="A1202" s="188"/>
      <c r="B1202" s="189"/>
      <c r="C1202" s="189"/>
      <c r="D1202" s="190"/>
      <c r="E1202" s="190"/>
      <c r="F1202" s="190"/>
      <c r="G1202" s="195" t="s">
        <v>834</v>
      </c>
      <c r="H1202" s="191">
        <f>H1190+H1193+H1197+H1200</f>
        <v>170000</v>
      </c>
      <c r="I1202" s="187"/>
    </row>
    <row r="1203" spans="1:9" s="199" customFormat="1" ht="15" hidden="1" outlineLevel="1">
      <c r="A1203" s="217"/>
      <c r="B1203" s="240"/>
      <c r="C1203" s="240"/>
      <c r="D1203" s="226"/>
      <c r="E1203" s="226"/>
      <c r="F1203" s="226"/>
      <c r="G1203" s="242"/>
      <c r="H1203" s="237"/>
      <c r="I1203" s="230"/>
    </row>
    <row r="1204" spans="1:10" s="199" customFormat="1" ht="15" hidden="1" outlineLevel="1">
      <c r="A1204" s="212">
        <v>42370</v>
      </c>
      <c r="B1204" s="213" t="s">
        <v>306</v>
      </c>
      <c r="C1204" s="213" t="s">
        <v>293</v>
      </c>
      <c r="D1204" s="215" t="s">
        <v>307</v>
      </c>
      <c r="E1204" s="215"/>
      <c r="F1204" s="215"/>
      <c r="G1204" s="222"/>
      <c r="H1204" s="239">
        <v>0</v>
      </c>
      <c r="I1204" s="230"/>
      <c r="J1204" s="199" t="s">
        <v>192</v>
      </c>
    </row>
    <row r="1205" spans="1:9" s="199" customFormat="1" ht="15" hidden="1" outlineLevel="1">
      <c r="A1205" s="217"/>
      <c r="B1205" s="240"/>
      <c r="C1205" s="240"/>
      <c r="D1205" s="226"/>
      <c r="E1205" s="226"/>
      <c r="F1205" s="226"/>
      <c r="G1205" s="242" t="s">
        <v>308</v>
      </c>
      <c r="H1205" s="237">
        <f>SUM(H1204)</f>
        <v>0</v>
      </c>
      <c r="I1205" s="230"/>
    </row>
    <row r="1206" spans="1:9" s="199" customFormat="1" ht="15" hidden="1" outlineLevel="1">
      <c r="A1206" s="217"/>
      <c r="B1206" s="240"/>
      <c r="C1206" s="240"/>
      <c r="D1206" s="226"/>
      <c r="E1206" s="226"/>
      <c r="F1206" s="226"/>
      <c r="G1206" s="242"/>
      <c r="H1206" s="237"/>
      <c r="I1206" s="230"/>
    </row>
    <row r="1207" spans="1:10" s="199" customFormat="1" ht="15" hidden="1" outlineLevel="1">
      <c r="A1207" s="212">
        <v>42658</v>
      </c>
      <c r="B1207" s="213" t="s">
        <v>306</v>
      </c>
      <c r="C1207" s="213" t="s">
        <v>874</v>
      </c>
      <c r="D1207" s="215" t="s">
        <v>1357</v>
      </c>
      <c r="E1207" s="215"/>
      <c r="F1207" s="215"/>
      <c r="G1207" s="222"/>
      <c r="H1207" s="239">
        <v>0</v>
      </c>
      <c r="I1207" s="230"/>
      <c r="J1207" s="199" t="s">
        <v>1358</v>
      </c>
    </row>
    <row r="1208" spans="1:9" s="199" customFormat="1" ht="15" hidden="1" outlineLevel="1">
      <c r="A1208" s="217"/>
      <c r="B1208" s="240"/>
      <c r="C1208" s="240"/>
      <c r="D1208" s="226"/>
      <c r="E1208" s="226"/>
      <c r="F1208" s="226"/>
      <c r="G1208" s="242" t="s">
        <v>1360</v>
      </c>
      <c r="H1208" s="237">
        <f>SUM(H1207:H1207)</f>
        <v>0</v>
      </c>
      <c r="I1208" s="230"/>
    </row>
    <row r="1209" spans="1:9" s="199" customFormat="1" ht="15" hidden="1" outlineLevel="1">
      <c r="A1209" s="217"/>
      <c r="B1209" s="240"/>
      <c r="C1209" s="240"/>
      <c r="D1209" s="226"/>
      <c r="E1209" s="226"/>
      <c r="F1209" s="226"/>
      <c r="G1209" s="242"/>
      <c r="H1209" s="237"/>
      <c r="I1209" s="230"/>
    </row>
    <row r="1210" spans="1:10" s="199" customFormat="1" ht="15" hidden="1" outlineLevel="1">
      <c r="A1210" s="212">
        <v>42658</v>
      </c>
      <c r="B1210" s="213" t="s">
        <v>306</v>
      </c>
      <c r="C1210" s="213" t="s">
        <v>821</v>
      </c>
      <c r="D1210" s="215" t="s">
        <v>1357</v>
      </c>
      <c r="E1210" s="215"/>
      <c r="F1210" s="215"/>
      <c r="G1210" s="222"/>
      <c r="H1210" s="239">
        <v>0</v>
      </c>
      <c r="I1210" s="230"/>
      <c r="J1210" s="199" t="s">
        <v>1359</v>
      </c>
    </row>
    <row r="1211" spans="1:9" s="199" customFormat="1" ht="15" hidden="1" outlineLevel="1">
      <c r="A1211" s="217"/>
      <c r="B1211" s="240"/>
      <c r="C1211" s="240"/>
      <c r="D1211" s="226"/>
      <c r="E1211" s="226"/>
      <c r="F1211" s="226"/>
      <c r="G1211" s="242" t="s">
        <v>124</v>
      </c>
      <c r="H1211" s="237">
        <f>SUM(H1210:H1210)</f>
        <v>0</v>
      </c>
      <c r="I1211" s="230"/>
    </row>
    <row r="1212" spans="1:9" s="199" customFormat="1" ht="15" hidden="1" outlineLevel="1">
      <c r="A1212" s="217"/>
      <c r="B1212" s="240"/>
      <c r="C1212" s="240"/>
      <c r="D1212" s="226"/>
      <c r="E1212" s="226"/>
      <c r="F1212" s="226"/>
      <c r="G1212" s="242"/>
      <c r="H1212" s="237"/>
      <c r="I1212" s="230"/>
    </row>
    <row r="1213" spans="1:9" s="199" customFormat="1" ht="15" hidden="1" outlineLevel="1">
      <c r="A1213" s="217"/>
      <c r="B1213" s="240"/>
      <c r="C1213" s="240"/>
      <c r="D1213" s="226"/>
      <c r="E1213" s="226"/>
      <c r="F1213" s="226"/>
      <c r="G1213" s="242" t="s">
        <v>200</v>
      </c>
      <c r="H1213" s="237">
        <f>H1205+H1208+H1211</f>
        <v>0</v>
      </c>
      <c r="I1213" s="230"/>
    </row>
    <row r="1214" spans="1:9" s="2" customFormat="1" ht="15" collapsed="1">
      <c r="A1214" s="188"/>
      <c r="B1214" s="189"/>
      <c r="C1214" s="189"/>
      <c r="D1214" s="190"/>
      <c r="E1214" s="190"/>
      <c r="F1214" s="190"/>
      <c r="G1214" s="195"/>
      <c r="H1214" s="191"/>
      <c r="I1214" s="187"/>
    </row>
    <row r="1215" spans="1:14" s="2" customFormat="1" ht="15">
      <c r="A1215" s="188">
        <v>42736</v>
      </c>
      <c r="B1215" s="189" t="s">
        <v>309</v>
      </c>
      <c r="C1215" s="189" t="s">
        <v>293</v>
      </c>
      <c r="D1215" s="190" t="s">
        <v>310</v>
      </c>
      <c r="E1215" s="190"/>
      <c r="F1215" s="190"/>
      <c r="G1215" s="195"/>
      <c r="H1215" s="191">
        <v>-9707459</v>
      </c>
      <c r="I1215" s="187"/>
      <c r="J1215" s="2" t="s">
        <v>192</v>
      </c>
      <c r="N1215" s="279"/>
    </row>
    <row r="1216" spans="1:10" s="199" customFormat="1" ht="15" hidden="1" outlineLevel="1">
      <c r="A1216" s="212">
        <v>42370</v>
      </c>
      <c r="B1216" s="213" t="s">
        <v>309</v>
      </c>
      <c r="C1216" s="213" t="s">
        <v>279</v>
      </c>
      <c r="D1216" s="215" t="s">
        <v>311</v>
      </c>
      <c r="E1216" s="215"/>
      <c r="F1216" s="215"/>
      <c r="G1216" s="222"/>
      <c r="H1216" s="239">
        <v>0</v>
      </c>
      <c r="I1216" s="230"/>
      <c r="J1216" s="199" t="s">
        <v>192</v>
      </c>
    </row>
    <row r="1217" spans="1:9" s="2" customFormat="1" ht="15" collapsed="1">
      <c r="A1217" s="188"/>
      <c r="B1217" s="189"/>
      <c r="C1217" s="189"/>
      <c r="D1217" s="190"/>
      <c r="E1217" s="190"/>
      <c r="F1217" s="190"/>
      <c r="G1217" s="195" t="s">
        <v>312</v>
      </c>
      <c r="H1217" s="191">
        <f>SUM(H1215:H1216)</f>
        <v>-9707459</v>
      </c>
      <c r="I1217" s="187"/>
    </row>
    <row r="1218" spans="1:9" s="199" customFormat="1" ht="15" hidden="1" outlineLevel="1">
      <c r="A1218" s="217"/>
      <c r="B1218" s="240"/>
      <c r="C1218" s="240"/>
      <c r="D1218" s="226"/>
      <c r="E1218" s="226"/>
      <c r="F1218" s="226"/>
      <c r="G1218" s="242"/>
      <c r="H1218" s="237"/>
      <c r="I1218" s="230"/>
    </row>
    <row r="1219" spans="1:10" s="199" customFormat="1" ht="15" hidden="1" outlineLevel="1">
      <c r="A1219" s="212">
        <v>42658</v>
      </c>
      <c r="B1219" s="213" t="s">
        <v>309</v>
      </c>
      <c r="C1219" s="213" t="s">
        <v>874</v>
      </c>
      <c r="D1219" s="215" t="s">
        <v>1361</v>
      </c>
      <c r="E1219" s="215"/>
      <c r="F1219" s="215"/>
      <c r="G1219" s="222"/>
      <c r="H1219" s="239">
        <v>0</v>
      </c>
      <c r="I1219" s="230"/>
      <c r="J1219" s="199" t="s">
        <v>1358</v>
      </c>
    </row>
    <row r="1220" spans="1:9" s="199" customFormat="1" ht="15" hidden="1" outlineLevel="1">
      <c r="A1220" s="217"/>
      <c r="B1220" s="240"/>
      <c r="C1220" s="240"/>
      <c r="D1220" s="226"/>
      <c r="E1220" s="226"/>
      <c r="F1220" s="226"/>
      <c r="G1220" s="242" t="s">
        <v>1362</v>
      </c>
      <c r="H1220" s="237">
        <f>SUM(H1219:H1219)</f>
        <v>0</v>
      </c>
      <c r="I1220" s="230"/>
    </row>
    <row r="1221" spans="1:9" s="199" customFormat="1" ht="15" hidden="1" outlineLevel="1">
      <c r="A1221" s="217"/>
      <c r="B1221" s="240"/>
      <c r="C1221" s="240"/>
      <c r="D1221" s="226"/>
      <c r="E1221" s="226"/>
      <c r="F1221" s="226"/>
      <c r="G1221" s="242"/>
      <c r="H1221" s="237"/>
      <c r="I1221" s="230"/>
    </row>
    <row r="1222" spans="1:10" s="199" customFormat="1" ht="15" hidden="1" outlineLevel="1">
      <c r="A1222" s="212">
        <v>42658</v>
      </c>
      <c r="B1222" s="213" t="s">
        <v>309</v>
      </c>
      <c r="C1222" s="213" t="s">
        <v>821</v>
      </c>
      <c r="D1222" s="215" t="s">
        <v>1361</v>
      </c>
      <c r="E1222" s="215"/>
      <c r="F1222" s="215"/>
      <c r="G1222" s="222"/>
      <c r="H1222" s="239">
        <v>0</v>
      </c>
      <c r="I1222" s="230"/>
      <c r="J1222" s="199" t="s">
        <v>1358</v>
      </c>
    </row>
    <row r="1223" spans="1:9" s="199" customFormat="1" ht="15" hidden="1" outlineLevel="1">
      <c r="A1223" s="217"/>
      <c r="B1223" s="240"/>
      <c r="C1223" s="240"/>
      <c r="D1223" s="226"/>
      <c r="E1223" s="226"/>
      <c r="F1223" s="226"/>
      <c r="G1223" s="242" t="s">
        <v>674</v>
      </c>
      <c r="H1223" s="237">
        <f>SUM(H1222:H1222)</f>
        <v>0</v>
      </c>
      <c r="I1223" s="230"/>
    </row>
    <row r="1224" spans="1:9" s="2" customFormat="1" ht="15" collapsed="1">
      <c r="A1224" s="188"/>
      <c r="B1224" s="189"/>
      <c r="C1224" s="189"/>
      <c r="D1224" s="190"/>
      <c r="E1224" s="190"/>
      <c r="F1224" s="190"/>
      <c r="G1224" s="195"/>
      <c r="H1224" s="191"/>
      <c r="I1224" s="187"/>
    </row>
    <row r="1225" spans="1:10" s="2" customFormat="1" ht="15">
      <c r="A1225" s="188">
        <v>42736</v>
      </c>
      <c r="B1225" s="189" t="s">
        <v>309</v>
      </c>
      <c r="C1225" s="189" t="s">
        <v>399</v>
      </c>
      <c r="D1225" s="190" t="s">
        <v>405</v>
      </c>
      <c r="E1225" s="190"/>
      <c r="F1225" s="190"/>
      <c r="G1225" s="195"/>
      <c r="H1225" s="191">
        <v>2998439</v>
      </c>
      <c r="I1225" s="187"/>
      <c r="J1225" s="2" t="s">
        <v>192</v>
      </c>
    </row>
    <row r="1226" spans="1:10" s="199" customFormat="1" ht="15" hidden="1" outlineLevel="1">
      <c r="A1226" s="212">
        <v>42005</v>
      </c>
      <c r="B1226" s="213" t="s">
        <v>309</v>
      </c>
      <c r="C1226" s="213" t="s">
        <v>402</v>
      </c>
      <c r="D1226" s="215" t="s">
        <v>406</v>
      </c>
      <c r="E1226" s="215"/>
      <c r="F1226" s="215"/>
      <c r="G1226" s="222"/>
      <c r="H1226" s="239">
        <v>0</v>
      </c>
      <c r="I1226" s="230"/>
      <c r="J1226" s="199" t="s">
        <v>192</v>
      </c>
    </row>
    <row r="1227" spans="1:9" s="2" customFormat="1" ht="15" collapsed="1">
      <c r="A1227" s="188"/>
      <c r="B1227" s="189"/>
      <c r="C1227" s="189"/>
      <c r="D1227" s="190"/>
      <c r="E1227" s="190"/>
      <c r="F1227" s="190"/>
      <c r="G1227" s="195" t="s">
        <v>407</v>
      </c>
      <c r="H1227" s="191">
        <f>SUM(H1225:H1226)</f>
        <v>2998439</v>
      </c>
      <c r="I1227" s="187"/>
    </row>
    <row r="1228" spans="1:9" s="2" customFormat="1" ht="15">
      <c r="A1228" s="188"/>
      <c r="B1228" s="189"/>
      <c r="C1228" s="189"/>
      <c r="D1228" s="190"/>
      <c r="E1228" s="190"/>
      <c r="F1228" s="190"/>
      <c r="G1228" s="195"/>
      <c r="H1228" s="191"/>
      <c r="I1228" s="187"/>
    </row>
    <row r="1229" spans="1:9" s="2" customFormat="1" ht="15">
      <c r="A1229" s="188"/>
      <c r="B1229" s="189"/>
      <c r="C1229" s="189"/>
      <c r="D1229" s="190"/>
      <c r="E1229" s="190"/>
      <c r="F1229" s="190"/>
      <c r="G1229" s="195" t="s">
        <v>203</v>
      </c>
      <c r="H1229" s="278">
        <f>H1217+H1220+H1223+H1227</f>
        <v>-6709020</v>
      </c>
      <c r="I1229" s="187"/>
    </row>
    <row r="1230" spans="1:9" s="199" customFormat="1" ht="15" hidden="1" outlineLevel="1">
      <c r="A1230" s="217"/>
      <c r="B1230" s="240"/>
      <c r="C1230" s="240"/>
      <c r="D1230" s="226"/>
      <c r="E1230" s="226"/>
      <c r="F1230" s="226"/>
      <c r="G1230" s="242"/>
      <c r="H1230" s="237"/>
      <c r="I1230" s="230"/>
    </row>
    <row r="1231" spans="1:10" s="199" customFormat="1" ht="15" hidden="1" outlineLevel="1">
      <c r="A1231" s="212">
        <v>42370</v>
      </c>
      <c r="B1231" s="213" t="s">
        <v>313</v>
      </c>
      <c r="C1231" s="213" t="s">
        <v>293</v>
      </c>
      <c r="D1231" s="215" t="s">
        <v>314</v>
      </c>
      <c r="E1231" s="215"/>
      <c r="F1231" s="215"/>
      <c r="G1231" s="222"/>
      <c r="H1231" s="239">
        <v>0</v>
      </c>
      <c r="I1231" s="230"/>
      <c r="J1231" s="199" t="s">
        <v>192</v>
      </c>
    </row>
    <row r="1232" spans="1:9" s="199" customFormat="1" ht="15" hidden="1" outlineLevel="1">
      <c r="A1232" s="217"/>
      <c r="B1232" s="240"/>
      <c r="C1232" s="240"/>
      <c r="D1232" s="226"/>
      <c r="E1232" s="226"/>
      <c r="F1232" s="226"/>
      <c r="G1232" s="242" t="s">
        <v>315</v>
      </c>
      <c r="H1232" s="237">
        <f>SUM(H1231)</f>
        <v>0</v>
      </c>
      <c r="I1232" s="230"/>
    </row>
    <row r="1233" spans="1:9" s="199" customFormat="1" ht="15" hidden="1" outlineLevel="1">
      <c r="A1233" s="217"/>
      <c r="B1233" s="240"/>
      <c r="C1233" s="240"/>
      <c r="D1233" s="226"/>
      <c r="E1233" s="226"/>
      <c r="F1233" s="226"/>
      <c r="G1233" s="242"/>
      <c r="H1233" s="237"/>
      <c r="I1233" s="230"/>
    </row>
    <row r="1234" spans="1:10" s="199" customFormat="1" ht="15" hidden="1" outlineLevel="1">
      <c r="A1234" s="212">
        <v>42658</v>
      </c>
      <c r="B1234" s="213" t="s">
        <v>313</v>
      </c>
      <c r="C1234" s="213" t="s">
        <v>874</v>
      </c>
      <c r="D1234" s="215" t="s">
        <v>1381</v>
      </c>
      <c r="E1234" s="215"/>
      <c r="F1234" s="215"/>
      <c r="G1234" s="222"/>
      <c r="H1234" s="239">
        <v>0</v>
      </c>
      <c r="I1234" s="230"/>
      <c r="J1234" s="199" t="s">
        <v>1358</v>
      </c>
    </row>
    <row r="1235" spans="1:9" s="199" customFormat="1" ht="15" hidden="1" outlineLevel="1">
      <c r="A1235" s="217"/>
      <c r="B1235" s="240"/>
      <c r="C1235" s="240"/>
      <c r="D1235" s="226"/>
      <c r="E1235" s="226"/>
      <c r="F1235" s="226"/>
      <c r="G1235" s="242" t="s">
        <v>1382</v>
      </c>
      <c r="H1235" s="237">
        <f>SUM(H1234)</f>
        <v>0</v>
      </c>
      <c r="I1235" s="230"/>
    </row>
    <row r="1236" spans="1:9" s="199" customFormat="1" ht="15" hidden="1" outlineLevel="1">
      <c r="A1236" s="217"/>
      <c r="B1236" s="240"/>
      <c r="C1236" s="240"/>
      <c r="D1236" s="226"/>
      <c r="E1236" s="226"/>
      <c r="F1236" s="226"/>
      <c r="G1236" s="242"/>
      <c r="H1236" s="237"/>
      <c r="I1236" s="230"/>
    </row>
    <row r="1237" spans="1:10" s="199" customFormat="1" ht="15" hidden="1" outlineLevel="1">
      <c r="A1237" s="212">
        <v>42658</v>
      </c>
      <c r="B1237" s="213" t="s">
        <v>313</v>
      </c>
      <c r="C1237" s="213" t="s">
        <v>821</v>
      </c>
      <c r="D1237" s="215" t="s">
        <v>835</v>
      </c>
      <c r="E1237" s="215"/>
      <c r="F1237" s="215"/>
      <c r="G1237" s="222"/>
      <c r="H1237" s="239">
        <v>0</v>
      </c>
      <c r="I1237" s="230"/>
      <c r="J1237" s="199" t="s">
        <v>1358</v>
      </c>
    </row>
    <row r="1238" spans="1:10" s="199" customFormat="1" ht="15" hidden="1" outlineLevel="1">
      <c r="A1238" s="212">
        <v>42346</v>
      </c>
      <c r="B1238" s="213" t="s">
        <v>313</v>
      </c>
      <c r="C1238" s="213" t="s">
        <v>825</v>
      </c>
      <c r="D1238" s="215" t="s">
        <v>836</v>
      </c>
      <c r="E1238" s="215"/>
      <c r="F1238" s="215"/>
      <c r="G1238" s="222"/>
      <c r="H1238" s="239">
        <v>0</v>
      </c>
      <c r="I1238" s="230"/>
      <c r="J1238" s="199" t="s">
        <v>824</v>
      </c>
    </row>
    <row r="1239" spans="1:9" s="199" customFormat="1" ht="15" hidden="1" outlineLevel="1">
      <c r="A1239" s="217"/>
      <c r="B1239" s="240"/>
      <c r="C1239" s="240"/>
      <c r="D1239" s="226"/>
      <c r="E1239" s="226"/>
      <c r="F1239" s="226"/>
      <c r="G1239" s="242" t="s">
        <v>837</v>
      </c>
      <c r="H1239" s="237">
        <f>SUM(H1237:H1238)</f>
        <v>0</v>
      </c>
      <c r="I1239" s="230"/>
    </row>
    <row r="1240" spans="1:9" s="199" customFormat="1" ht="15" hidden="1" outlineLevel="1">
      <c r="A1240" s="217"/>
      <c r="B1240" s="240"/>
      <c r="C1240" s="240"/>
      <c r="D1240" s="226"/>
      <c r="E1240" s="226"/>
      <c r="F1240" s="226"/>
      <c r="G1240" s="242"/>
      <c r="H1240" s="237"/>
      <c r="I1240" s="230"/>
    </row>
    <row r="1241" spans="1:9" s="199" customFormat="1" ht="15" hidden="1" outlineLevel="1">
      <c r="A1241" s="217"/>
      <c r="B1241" s="240"/>
      <c r="C1241" s="240"/>
      <c r="D1241" s="226"/>
      <c r="E1241" s="226"/>
      <c r="F1241" s="226"/>
      <c r="G1241" s="242" t="s">
        <v>838</v>
      </c>
      <c r="H1241" s="237">
        <f>H1232+H1235+H1239</f>
        <v>0</v>
      </c>
      <c r="I1241" s="230"/>
    </row>
    <row r="1242" spans="1:9" s="199" customFormat="1" ht="15" hidden="1" outlineLevel="1">
      <c r="A1242" s="217"/>
      <c r="B1242" s="240"/>
      <c r="C1242" s="240"/>
      <c r="D1242" s="226"/>
      <c r="E1242" s="226"/>
      <c r="F1242" s="226"/>
      <c r="G1242" s="242"/>
      <c r="H1242" s="237"/>
      <c r="I1242" s="230"/>
    </row>
    <row r="1243" spans="1:10" s="199" customFormat="1" ht="15" hidden="1" outlineLevel="1">
      <c r="A1243" s="212">
        <v>42005</v>
      </c>
      <c r="B1243" s="213" t="s">
        <v>316</v>
      </c>
      <c r="C1243" s="213" t="s">
        <v>293</v>
      </c>
      <c r="D1243" s="215" t="s">
        <v>317</v>
      </c>
      <c r="E1243" s="215"/>
      <c r="F1243" s="215"/>
      <c r="G1243" s="222"/>
      <c r="H1243" s="239">
        <v>0</v>
      </c>
      <c r="I1243" s="230"/>
      <c r="J1243" s="199" t="s">
        <v>192</v>
      </c>
    </row>
    <row r="1244" spans="1:9" s="199" customFormat="1" ht="15" hidden="1" outlineLevel="1">
      <c r="A1244" s="217"/>
      <c r="B1244" s="240"/>
      <c r="C1244" s="240"/>
      <c r="D1244" s="226"/>
      <c r="E1244" s="226"/>
      <c r="F1244" s="226"/>
      <c r="G1244" s="242" t="s">
        <v>318</v>
      </c>
      <c r="H1244" s="237">
        <f>SUM(H1243)</f>
        <v>0</v>
      </c>
      <c r="I1244" s="230"/>
    </row>
    <row r="1245" spans="1:9" s="2" customFormat="1" ht="15" collapsed="1">
      <c r="A1245" s="188"/>
      <c r="B1245" s="189"/>
      <c r="C1245" s="189"/>
      <c r="D1245" s="190"/>
      <c r="E1245" s="190"/>
      <c r="F1245" s="190"/>
      <c r="G1245" s="195"/>
      <c r="H1245" s="191"/>
      <c r="I1245" s="187"/>
    </row>
    <row r="1246" spans="1:14" s="2" customFormat="1" ht="15">
      <c r="A1246" s="188">
        <v>42736</v>
      </c>
      <c r="B1246" s="189" t="s">
        <v>319</v>
      </c>
      <c r="C1246" s="189" t="s">
        <v>293</v>
      </c>
      <c r="D1246" s="190" t="s">
        <v>320</v>
      </c>
      <c r="E1246" s="190"/>
      <c r="F1246" s="190"/>
      <c r="G1246" s="195"/>
      <c r="H1246" s="191">
        <v>734600</v>
      </c>
      <c r="I1246" s="187"/>
      <c r="J1246" s="2" t="s">
        <v>192</v>
      </c>
      <c r="N1246" s="279"/>
    </row>
    <row r="1247" spans="1:10" s="199" customFormat="1" ht="15" hidden="1" outlineLevel="1">
      <c r="A1247" s="212">
        <v>42370</v>
      </c>
      <c r="B1247" s="213" t="s">
        <v>319</v>
      </c>
      <c r="C1247" s="213" t="s">
        <v>279</v>
      </c>
      <c r="D1247" s="215" t="s">
        <v>321</v>
      </c>
      <c r="E1247" s="215"/>
      <c r="F1247" s="215"/>
      <c r="G1247" s="222"/>
      <c r="H1247" s="239">
        <v>0</v>
      </c>
      <c r="I1247" s="230"/>
      <c r="J1247" s="199" t="s">
        <v>192</v>
      </c>
    </row>
    <row r="1248" spans="1:9" s="2" customFormat="1" ht="15" collapsed="1">
      <c r="A1248" s="188"/>
      <c r="B1248" s="189"/>
      <c r="C1248" s="189"/>
      <c r="D1248" s="190"/>
      <c r="E1248" s="190"/>
      <c r="F1248" s="190"/>
      <c r="G1248" s="195" t="s">
        <v>322</v>
      </c>
      <c r="H1248" s="191">
        <f>SUM(H1246:H1247)</f>
        <v>734600</v>
      </c>
      <c r="I1248" s="187"/>
    </row>
    <row r="1249" spans="1:9" s="199" customFormat="1" ht="15" hidden="1" outlineLevel="1">
      <c r="A1249" s="217"/>
      <c r="B1249" s="240"/>
      <c r="C1249" s="240"/>
      <c r="D1249" s="226"/>
      <c r="E1249" s="226"/>
      <c r="F1249" s="226"/>
      <c r="G1249" s="242"/>
      <c r="H1249" s="237"/>
      <c r="I1249" s="230"/>
    </row>
    <row r="1250" spans="1:10" s="199" customFormat="1" ht="15" hidden="1" outlineLevel="1">
      <c r="A1250" s="212">
        <v>42658</v>
      </c>
      <c r="B1250" s="213" t="s">
        <v>319</v>
      </c>
      <c r="C1250" s="213" t="s">
        <v>874</v>
      </c>
      <c r="D1250" s="215" t="s">
        <v>1363</v>
      </c>
      <c r="E1250" s="215"/>
      <c r="F1250" s="215"/>
      <c r="G1250" s="222"/>
      <c r="H1250" s="239">
        <v>0</v>
      </c>
      <c r="I1250" s="230" t="s">
        <v>1</v>
      </c>
      <c r="J1250" s="199" t="s">
        <v>1358</v>
      </c>
    </row>
    <row r="1251" spans="1:9" s="199" customFormat="1" ht="15" hidden="1" outlineLevel="1">
      <c r="A1251" s="217"/>
      <c r="B1251" s="240"/>
      <c r="C1251" s="240"/>
      <c r="D1251" s="226"/>
      <c r="E1251" s="226"/>
      <c r="F1251" s="226"/>
      <c r="G1251" s="242" t="s">
        <v>1364</v>
      </c>
      <c r="H1251" s="237">
        <f>SUM(H1250:H1250)</f>
        <v>0</v>
      </c>
      <c r="I1251" s="230"/>
    </row>
    <row r="1252" spans="1:9" s="199" customFormat="1" ht="15" hidden="1" outlineLevel="1">
      <c r="A1252" s="217"/>
      <c r="B1252" s="240"/>
      <c r="C1252" s="240"/>
      <c r="D1252" s="226"/>
      <c r="E1252" s="226"/>
      <c r="F1252" s="226"/>
      <c r="G1252" s="242"/>
      <c r="H1252" s="237"/>
      <c r="I1252" s="230"/>
    </row>
    <row r="1253" spans="1:10" s="199" customFormat="1" ht="15" hidden="1" outlineLevel="1">
      <c r="A1253" s="212">
        <v>42658</v>
      </c>
      <c r="B1253" s="213" t="s">
        <v>319</v>
      </c>
      <c r="C1253" s="213" t="s">
        <v>821</v>
      </c>
      <c r="D1253" s="215" t="s">
        <v>1363</v>
      </c>
      <c r="E1253" s="215"/>
      <c r="F1253" s="215"/>
      <c r="G1253" s="222"/>
      <c r="H1253" s="239">
        <v>0</v>
      </c>
      <c r="I1253" s="230" t="s">
        <v>1</v>
      </c>
      <c r="J1253" s="199" t="s">
        <v>104</v>
      </c>
    </row>
    <row r="1254" spans="1:9" s="199" customFormat="1" ht="15" hidden="1" outlineLevel="1">
      <c r="A1254" s="217"/>
      <c r="B1254" s="240"/>
      <c r="C1254" s="240"/>
      <c r="D1254" s="226"/>
      <c r="E1254" s="226"/>
      <c r="F1254" s="226"/>
      <c r="G1254" s="242" t="s">
        <v>118</v>
      </c>
      <c r="H1254" s="237">
        <f>SUM(H1253:H1253)</f>
        <v>0</v>
      </c>
      <c r="I1254" s="230"/>
    </row>
    <row r="1255" spans="1:9" s="199" customFormat="1" ht="15" hidden="1" outlineLevel="1">
      <c r="A1255" s="217"/>
      <c r="B1255" s="240"/>
      <c r="C1255" s="240"/>
      <c r="D1255" s="226"/>
      <c r="E1255" s="226"/>
      <c r="F1255" s="226"/>
      <c r="G1255" s="242"/>
      <c r="H1255" s="237"/>
      <c r="I1255" s="230"/>
    </row>
    <row r="1256" spans="1:10" s="199" customFormat="1" ht="15" hidden="1" outlineLevel="1">
      <c r="A1256" s="212">
        <v>42370</v>
      </c>
      <c r="B1256" s="213" t="s">
        <v>319</v>
      </c>
      <c r="C1256" s="213" t="s">
        <v>399</v>
      </c>
      <c r="D1256" s="215" t="s">
        <v>1044</v>
      </c>
      <c r="E1256" s="215"/>
      <c r="F1256" s="215"/>
      <c r="G1256" s="222"/>
      <c r="H1256" s="239">
        <v>0</v>
      </c>
      <c r="I1256" s="230"/>
      <c r="J1256" s="199" t="s">
        <v>192</v>
      </c>
    </row>
    <row r="1257" spans="1:9" s="199" customFormat="1" ht="15" hidden="1" outlineLevel="1">
      <c r="A1257" s="217"/>
      <c r="B1257" s="240"/>
      <c r="C1257" s="240"/>
      <c r="D1257" s="226"/>
      <c r="E1257" s="226"/>
      <c r="F1257" s="226"/>
      <c r="G1257" s="242" t="s">
        <v>408</v>
      </c>
      <c r="H1257" s="237">
        <f>SUM(H1256:H1256)</f>
        <v>0</v>
      </c>
      <c r="I1257" s="230"/>
    </row>
    <row r="1258" spans="1:9" s="2" customFormat="1" ht="15" collapsed="1">
      <c r="A1258" s="188"/>
      <c r="B1258" s="189"/>
      <c r="C1258" s="189"/>
      <c r="D1258" s="190"/>
      <c r="E1258" s="190"/>
      <c r="F1258" s="190"/>
      <c r="G1258" s="195"/>
      <c r="H1258" s="191"/>
      <c r="I1258" s="187"/>
    </row>
    <row r="1259" spans="1:9" s="2" customFormat="1" ht="15">
      <c r="A1259" s="188"/>
      <c r="B1259" s="189"/>
      <c r="C1259" s="189"/>
      <c r="D1259" s="190"/>
      <c r="E1259" s="190"/>
      <c r="F1259" s="190"/>
      <c r="G1259" s="195" t="s">
        <v>119</v>
      </c>
      <c r="H1259" s="278">
        <f>H1248+H1251+H1254+H1257</f>
        <v>734600</v>
      </c>
      <c r="I1259" s="187"/>
    </row>
    <row r="1260" spans="1:9" s="199" customFormat="1" ht="15" hidden="1" outlineLevel="1">
      <c r="A1260" s="217"/>
      <c r="B1260" s="240"/>
      <c r="C1260" s="240"/>
      <c r="D1260" s="226"/>
      <c r="E1260" s="226"/>
      <c r="F1260" s="226"/>
      <c r="G1260" s="242"/>
      <c r="H1260" s="237"/>
      <c r="I1260" s="230"/>
    </row>
    <row r="1261" spans="1:10" s="199" customFormat="1" ht="15" hidden="1" outlineLevel="1">
      <c r="A1261" s="212">
        <v>42370</v>
      </c>
      <c r="B1261" s="213" t="s">
        <v>323</v>
      </c>
      <c r="C1261" s="213" t="s">
        <v>293</v>
      </c>
      <c r="D1261" s="215" t="s">
        <v>324</v>
      </c>
      <c r="E1261" s="215"/>
      <c r="F1261" s="215"/>
      <c r="G1261" s="222"/>
      <c r="H1261" s="239">
        <v>0</v>
      </c>
      <c r="I1261" s="230"/>
      <c r="J1261" s="199" t="s">
        <v>192</v>
      </c>
    </row>
    <row r="1262" spans="1:9" s="199" customFormat="1" ht="15" hidden="1" outlineLevel="1">
      <c r="A1262" s="217"/>
      <c r="B1262" s="240"/>
      <c r="C1262" s="240"/>
      <c r="D1262" s="226"/>
      <c r="E1262" s="226"/>
      <c r="F1262" s="226"/>
      <c r="G1262" s="242" t="s">
        <v>325</v>
      </c>
      <c r="H1262" s="237">
        <f>SUM(H1261)</f>
        <v>0</v>
      </c>
      <c r="I1262" s="230"/>
    </row>
    <row r="1263" spans="1:9" s="199" customFormat="1" ht="15" hidden="1" outlineLevel="1">
      <c r="A1263" s="217"/>
      <c r="B1263" s="240"/>
      <c r="C1263" s="240"/>
      <c r="D1263" s="226"/>
      <c r="E1263" s="226"/>
      <c r="F1263" s="226"/>
      <c r="G1263" s="242"/>
      <c r="H1263" s="237"/>
      <c r="I1263" s="230"/>
    </row>
    <row r="1264" spans="1:10" s="199" customFormat="1" ht="15" hidden="1" outlineLevel="1">
      <c r="A1264" s="212">
        <v>42658</v>
      </c>
      <c r="B1264" s="213" t="s">
        <v>323</v>
      </c>
      <c r="C1264" s="213" t="s">
        <v>874</v>
      </c>
      <c r="D1264" s="215" t="s">
        <v>839</v>
      </c>
      <c r="E1264" s="215"/>
      <c r="F1264" s="215"/>
      <c r="G1264" s="222"/>
      <c r="H1264" s="239">
        <v>0</v>
      </c>
      <c r="I1264" s="230"/>
      <c r="J1264" s="199" t="s">
        <v>1358</v>
      </c>
    </row>
    <row r="1265" spans="1:9" s="199" customFormat="1" ht="15" hidden="1" outlineLevel="1">
      <c r="A1265" s="217"/>
      <c r="B1265" s="240"/>
      <c r="C1265" s="240"/>
      <c r="D1265" s="226"/>
      <c r="E1265" s="226"/>
      <c r="F1265" s="226"/>
      <c r="G1265" s="242" t="s">
        <v>1365</v>
      </c>
      <c r="H1265" s="237">
        <f>SUM(H1264)</f>
        <v>0</v>
      </c>
      <c r="I1265" s="230"/>
    </row>
    <row r="1266" spans="1:9" s="199" customFormat="1" ht="15" hidden="1" outlineLevel="1">
      <c r="A1266" s="217"/>
      <c r="B1266" s="240"/>
      <c r="C1266" s="240"/>
      <c r="D1266" s="226"/>
      <c r="E1266" s="226"/>
      <c r="F1266" s="226"/>
      <c r="G1266" s="242"/>
      <c r="H1266" s="237"/>
      <c r="I1266" s="230"/>
    </row>
    <row r="1267" spans="1:10" s="199" customFormat="1" ht="15" hidden="1" outlineLevel="1">
      <c r="A1267" s="212">
        <v>42658</v>
      </c>
      <c r="B1267" s="213" t="s">
        <v>323</v>
      </c>
      <c r="C1267" s="213" t="s">
        <v>821</v>
      </c>
      <c r="D1267" s="215" t="s">
        <v>839</v>
      </c>
      <c r="E1267" s="215"/>
      <c r="F1267" s="215"/>
      <c r="G1267" s="222"/>
      <c r="H1267" s="239">
        <v>0</v>
      </c>
      <c r="I1267" s="230"/>
      <c r="J1267" s="199" t="s">
        <v>1358</v>
      </c>
    </row>
    <row r="1268" spans="1:10" s="199" customFormat="1" ht="15" hidden="1" outlineLevel="1">
      <c r="A1268" s="212">
        <v>42346</v>
      </c>
      <c r="B1268" s="213" t="s">
        <v>323</v>
      </c>
      <c r="C1268" s="213" t="s">
        <v>825</v>
      </c>
      <c r="D1268" s="215" t="s">
        <v>840</v>
      </c>
      <c r="E1268" s="215"/>
      <c r="F1268" s="215"/>
      <c r="G1268" s="222"/>
      <c r="H1268" s="239">
        <v>0</v>
      </c>
      <c r="I1268" s="230"/>
      <c r="J1268" s="199" t="s">
        <v>824</v>
      </c>
    </row>
    <row r="1269" spans="1:9" s="199" customFormat="1" ht="15" hidden="1" outlineLevel="1">
      <c r="A1269" s="217"/>
      <c r="B1269" s="240"/>
      <c r="C1269" s="240"/>
      <c r="D1269" s="226"/>
      <c r="E1269" s="226"/>
      <c r="F1269" s="226"/>
      <c r="G1269" s="242" t="s">
        <v>695</v>
      </c>
      <c r="H1269" s="237">
        <f>SUM(H1267:H1268)</f>
        <v>0</v>
      </c>
      <c r="I1269" s="230"/>
    </row>
    <row r="1270" spans="1:9" s="199" customFormat="1" ht="15" hidden="1" outlineLevel="1">
      <c r="A1270" s="217"/>
      <c r="B1270" s="240"/>
      <c r="C1270" s="240"/>
      <c r="D1270" s="226"/>
      <c r="E1270" s="226"/>
      <c r="F1270" s="226"/>
      <c r="G1270" s="242"/>
      <c r="H1270" s="237"/>
      <c r="I1270" s="230"/>
    </row>
    <row r="1271" spans="1:9" s="199" customFormat="1" ht="15" hidden="1" outlineLevel="1">
      <c r="A1271" s="217"/>
      <c r="B1271" s="240"/>
      <c r="C1271" s="240"/>
      <c r="D1271" s="226"/>
      <c r="E1271" s="226"/>
      <c r="F1271" s="226"/>
      <c r="G1271" s="242" t="s">
        <v>195</v>
      </c>
      <c r="H1271" s="237">
        <f>H1262+H1265+H1269</f>
        <v>0</v>
      </c>
      <c r="I1271" s="230"/>
    </row>
    <row r="1272" spans="1:9" s="199" customFormat="1" ht="15" hidden="1" outlineLevel="1">
      <c r="A1272" s="217"/>
      <c r="B1272" s="240"/>
      <c r="C1272" s="240"/>
      <c r="D1272" s="226"/>
      <c r="E1272" s="226"/>
      <c r="F1272" s="226"/>
      <c r="G1272" s="242"/>
      <c r="H1272" s="237"/>
      <c r="I1272" s="230"/>
    </row>
    <row r="1273" spans="1:10" s="199" customFormat="1" ht="15" hidden="1" outlineLevel="1">
      <c r="A1273" s="212">
        <v>42370</v>
      </c>
      <c r="B1273" s="213" t="s">
        <v>326</v>
      </c>
      <c r="C1273" s="213" t="s">
        <v>293</v>
      </c>
      <c r="D1273" s="215" t="s">
        <v>327</v>
      </c>
      <c r="E1273" s="215"/>
      <c r="F1273" s="215"/>
      <c r="G1273" s="222"/>
      <c r="H1273" s="239">
        <v>0</v>
      </c>
      <c r="I1273" s="230"/>
      <c r="J1273" s="199" t="s">
        <v>192</v>
      </c>
    </row>
    <row r="1274" spans="1:9" s="199" customFormat="1" ht="15" hidden="1" outlineLevel="1">
      <c r="A1274" s="217"/>
      <c r="B1274" s="240"/>
      <c r="C1274" s="240"/>
      <c r="D1274" s="226"/>
      <c r="E1274" s="226"/>
      <c r="F1274" s="226"/>
      <c r="G1274" s="242" t="s">
        <v>328</v>
      </c>
      <c r="H1274" s="237">
        <f>SUM(H1273)</f>
        <v>0</v>
      </c>
      <c r="I1274" s="230"/>
    </row>
    <row r="1275" spans="1:9" s="199" customFormat="1" ht="15" hidden="1" outlineLevel="1">
      <c r="A1275" s="217"/>
      <c r="B1275" s="240"/>
      <c r="C1275" s="240"/>
      <c r="D1275" s="226"/>
      <c r="E1275" s="226"/>
      <c r="F1275" s="226"/>
      <c r="G1275" s="242"/>
      <c r="H1275" s="237"/>
      <c r="I1275" s="230"/>
    </row>
    <row r="1276" spans="1:10" s="199" customFormat="1" ht="15" hidden="1" outlineLevel="1">
      <c r="A1276" s="212">
        <v>42658</v>
      </c>
      <c r="B1276" s="213" t="s">
        <v>326</v>
      </c>
      <c r="C1276" s="213" t="s">
        <v>874</v>
      </c>
      <c r="D1276" s="215" t="s">
        <v>1366</v>
      </c>
      <c r="E1276" s="215"/>
      <c r="F1276" s="215"/>
      <c r="G1276" s="222"/>
      <c r="H1276" s="239">
        <v>0</v>
      </c>
      <c r="I1276" s="230"/>
      <c r="J1276" s="199" t="s">
        <v>1358</v>
      </c>
    </row>
    <row r="1277" spans="1:9" s="199" customFormat="1" ht="15" hidden="1" outlineLevel="1">
      <c r="A1277" s="217"/>
      <c r="B1277" s="240"/>
      <c r="C1277" s="240"/>
      <c r="D1277" s="226"/>
      <c r="E1277" s="226"/>
      <c r="F1277" s="226"/>
      <c r="G1277" s="242" t="s">
        <v>1367</v>
      </c>
      <c r="H1277" s="237">
        <f>SUM(H1276)</f>
        <v>0</v>
      </c>
      <c r="I1277" s="230"/>
    </row>
    <row r="1278" spans="1:9" s="199" customFormat="1" ht="15" hidden="1" outlineLevel="1">
      <c r="A1278" s="217"/>
      <c r="B1278" s="240"/>
      <c r="C1278" s="240"/>
      <c r="D1278" s="226"/>
      <c r="E1278" s="226"/>
      <c r="F1278" s="226"/>
      <c r="G1278" s="242"/>
      <c r="H1278" s="237"/>
      <c r="I1278" s="230"/>
    </row>
    <row r="1279" spans="1:10" s="199" customFormat="1" ht="15" hidden="1" outlineLevel="1">
      <c r="A1279" s="212">
        <v>42658</v>
      </c>
      <c r="B1279" s="213" t="s">
        <v>326</v>
      </c>
      <c r="C1279" s="213" t="s">
        <v>821</v>
      </c>
      <c r="D1279" s="215" t="s">
        <v>1366</v>
      </c>
      <c r="E1279" s="215"/>
      <c r="F1279" s="215"/>
      <c r="G1279" s="222"/>
      <c r="H1279" s="239">
        <v>0</v>
      </c>
      <c r="I1279" s="230" t="s">
        <v>1</v>
      </c>
      <c r="J1279" s="199" t="s">
        <v>104</v>
      </c>
    </row>
    <row r="1280" spans="1:10" s="199" customFormat="1" ht="15" hidden="1" outlineLevel="1">
      <c r="A1280" s="212">
        <v>42346</v>
      </c>
      <c r="B1280" s="213" t="s">
        <v>326</v>
      </c>
      <c r="C1280" s="213" t="s">
        <v>825</v>
      </c>
      <c r="D1280" s="215" t="s">
        <v>841</v>
      </c>
      <c r="E1280" s="215"/>
      <c r="F1280" s="215"/>
      <c r="G1280" s="222"/>
      <c r="H1280" s="239">
        <v>0</v>
      </c>
      <c r="I1280" s="230"/>
      <c r="J1280" s="199" t="s">
        <v>824</v>
      </c>
    </row>
    <row r="1281" spans="1:9" s="199" customFormat="1" ht="15" hidden="1" outlineLevel="1">
      <c r="A1281" s="217"/>
      <c r="B1281" s="240"/>
      <c r="C1281" s="240"/>
      <c r="D1281" s="226"/>
      <c r="E1281" s="226"/>
      <c r="F1281" s="226"/>
      <c r="G1281" s="242" t="s">
        <v>694</v>
      </c>
      <c r="H1281" s="237">
        <f>SUM(H1279:H1280)</f>
        <v>0</v>
      </c>
      <c r="I1281" s="230"/>
    </row>
    <row r="1282" spans="1:9" s="199" customFormat="1" ht="15" hidden="1" outlineLevel="1">
      <c r="A1282" s="217"/>
      <c r="B1282" s="240"/>
      <c r="C1282" s="240"/>
      <c r="D1282" s="226"/>
      <c r="E1282" s="226"/>
      <c r="F1282" s="226"/>
      <c r="G1282" s="242"/>
      <c r="H1282" s="237"/>
      <c r="I1282" s="230"/>
    </row>
    <row r="1283" spans="1:9" s="199" customFormat="1" ht="15" hidden="1" outlineLevel="1">
      <c r="A1283" s="217"/>
      <c r="B1283" s="240"/>
      <c r="C1283" s="240"/>
      <c r="D1283" s="226"/>
      <c r="E1283" s="226"/>
      <c r="F1283" s="226"/>
      <c r="G1283" s="242" t="s">
        <v>193</v>
      </c>
      <c r="H1283" s="237">
        <f>H1274+H1277+H1281</f>
        <v>0</v>
      </c>
      <c r="I1283" s="230"/>
    </row>
    <row r="1284" spans="1:9" s="199" customFormat="1" ht="15" hidden="1" outlineLevel="1">
      <c r="A1284" s="217"/>
      <c r="B1284" s="240"/>
      <c r="C1284" s="240"/>
      <c r="D1284" s="226"/>
      <c r="E1284" s="226"/>
      <c r="F1284" s="226"/>
      <c r="G1284" s="242"/>
      <c r="H1284" s="237"/>
      <c r="I1284" s="230"/>
    </row>
    <row r="1285" spans="1:10" s="199" customFormat="1" ht="15" hidden="1" outlineLevel="1">
      <c r="A1285" s="217">
        <v>42370</v>
      </c>
      <c r="B1285" s="240" t="s">
        <v>329</v>
      </c>
      <c r="C1285" s="240" t="s">
        <v>293</v>
      </c>
      <c r="D1285" s="226" t="s">
        <v>330</v>
      </c>
      <c r="E1285" s="226"/>
      <c r="F1285" s="226"/>
      <c r="G1285" s="242"/>
      <c r="H1285" s="237">
        <v>0</v>
      </c>
      <c r="I1285" s="230"/>
      <c r="J1285" s="199" t="s">
        <v>192</v>
      </c>
    </row>
    <row r="1286" spans="1:10" s="199" customFormat="1" ht="15" hidden="1" outlineLevel="1">
      <c r="A1286" s="212">
        <v>42370</v>
      </c>
      <c r="B1286" s="213" t="s">
        <v>329</v>
      </c>
      <c r="C1286" s="213" t="s">
        <v>279</v>
      </c>
      <c r="D1286" s="215" t="s">
        <v>331</v>
      </c>
      <c r="E1286" s="215"/>
      <c r="F1286" s="215"/>
      <c r="G1286" s="222"/>
      <c r="H1286" s="239">
        <v>0</v>
      </c>
      <c r="I1286" s="230"/>
      <c r="J1286" s="199" t="s">
        <v>192</v>
      </c>
    </row>
    <row r="1287" spans="1:9" s="199" customFormat="1" ht="15" hidden="1" outlineLevel="1">
      <c r="A1287" s="217"/>
      <c r="B1287" s="240"/>
      <c r="C1287" s="240"/>
      <c r="D1287" s="226"/>
      <c r="E1287" s="226"/>
      <c r="F1287" s="226"/>
      <c r="G1287" s="242" t="s">
        <v>332</v>
      </c>
      <c r="H1287" s="237">
        <f>SUM(H1285:H1286)</f>
        <v>0</v>
      </c>
      <c r="I1287" s="230"/>
    </row>
    <row r="1288" spans="1:9" s="2" customFormat="1" ht="15" collapsed="1">
      <c r="A1288" s="188"/>
      <c r="B1288" s="189"/>
      <c r="C1288" s="189"/>
      <c r="D1288" s="190"/>
      <c r="E1288" s="190"/>
      <c r="F1288" s="190"/>
      <c r="G1288" s="195"/>
      <c r="H1288" s="191"/>
      <c r="I1288" s="187"/>
    </row>
    <row r="1289" spans="1:10" s="2" customFormat="1" ht="15">
      <c r="A1289" s="182">
        <v>42736</v>
      </c>
      <c r="B1289" s="183" t="s">
        <v>329</v>
      </c>
      <c r="C1289" s="183" t="s">
        <v>1197</v>
      </c>
      <c r="D1289" s="184" t="s">
        <v>1656</v>
      </c>
      <c r="E1289" s="184"/>
      <c r="F1289" s="184"/>
      <c r="G1289" s="185"/>
      <c r="H1289" s="186">
        <v>2866000</v>
      </c>
      <c r="I1289" s="187"/>
      <c r="J1289" s="2" t="s">
        <v>192</v>
      </c>
    </row>
    <row r="1290" spans="1:9" s="2" customFormat="1" ht="15">
      <c r="A1290" s="188"/>
      <c r="B1290" s="189"/>
      <c r="C1290" s="189"/>
      <c r="D1290" s="190"/>
      <c r="E1290" s="190"/>
      <c r="F1290" s="190"/>
      <c r="G1290" s="195" t="s">
        <v>1085</v>
      </c>
      <c r="H1290" s="191">
        <f>SUM(H1289)</f>
        <v>2866000</v>
      </c>
      <c r="I1290" s="187"/>
    </row>
    <row r="1291" spans="1:9" s="2" customFormat="1" ht="15">
      <c r="A1291" s="188"/>
      <c r="B1291" s="189"/>
      <c r="C1291" s="189"/>
      <c r="D1291" s="190"/>
      <c r="E1291" s="190"/>
      <c r="F1291" s="190"/>
      <c r="G1291" s="195"/>
      <c r="H1291" s="191"/>
      <c r="I1291" s="187"/>
    </row>
    <row r="1292" spans="1:9" s="2" customFormat="1" ht="15">
      <c r="A1292" s="188"/>
      <c r="B1292" s="189"/>
      <c r="C1292" s="189"/>
      <c r="D1292" s="190"/>
      <c r="E1292" s="190"/>
      <c r="F1292" s="190"/>
      <c r="G1292" s="195" t="s">
        <v>198</v>
      </c>
      <c r="H1292" s="191">
        <f>H1287+H1290</f>
        <v>2866000</v>
      </c>
      <c r="I1292" s="187"/>
    </row>
    <row r="1293" spans="1:9" s="199" customFormat="1" ht="15" hidden="1" outlineLevel="1">
      <c r="A1293" s="217"/>
      <c r="B1293" s="240"/>
      <c r="C1293" s="240"/>
      <c r="D1293" s="226"/>
      <c r="E1293" s="226"/>
      <c r="F1293" s="226"/>
      <c r="G1293" s="242"/>
      <c r="H1293" s="237"/>
      <c r="I1293" s="230"/>
    </row>
    <row r="1294" spans="1:10" s="199" customFormat="1" ht="15" hidden="1" outlineLevel="1">
      <c r="A1294" s="212">
        <v>42370</v>
      </c>
      <c r="B1294" s="213" t="s">
        <v>333</v>
      </c>
      <c r="C1294" s="213" t="s">
        <v>293</v>
      </c>
      <c r="D1294" s="215" t="s">
        <v>334</v>
      </c>
      <c r="E1294" s="215"/>
      <c r="F1294" s="215"/>
      <c r="G1294" s="222"/>
      <c r="H1294" s="239">
        <v>0</v>
      </c>
      <c r="I1294" s="230"/>
      <c r="J1294" s="199" t="s">
        <v>192</v>
      </c>
    </row>
    <row r="1295" spans="1:9" s="199" customFormat="1" ht="15" hidden="1" outlineLevel="1">
      <c r="A1295" s="217"/>
      <c r="B1295" s="240"/>
      <c r="C1295" s="240"/>
      <c r="D1295" s="226"/>
      <c r="E1295" s="226"/>
      <c r="F1295" s="226"/>
      <c r="G1295" s="242" t="s">
        <v>335</v>
      </c>
      <c r="H1295" s="237">
        <f>SUM(H1294)</f>
        <v>0</v>
      </c>
      <c r="I1295" s="230"/>
    </row>
    <row r="1296" spans="1:9" s="2" customFormat="1" ht="15" collapsed="1">
      <c r="A1296" s="188"/>
      <c r="B1296" s="189"/>
      <c r="C1296" s="189"/>
      <c r="D1296" s="190"/>
      <c r="E1296" s="190"/>
      <c r="F1296" s="190"/>
      <c r="G1296" s="195"/>
      <c r="H1296" s="191"/>
      <c r="I1296" s="187"/>
    </row>
    <row r="1297" spans="1:10" s="2" customFormat="1" ht="15">
      <c r="A1297" s="182">
        <v>42736</v>
      </c>
      <c r="B1297" s="183" t="s">
        <v>333</v>
      </c>
      <c r="C1297" s="183" t="s">
        <v>1197</v>
      </c>
      <c r="D1297" s="184" t="s">
        <v>1657</v>
      </c>
      <c r="E1297" s="184"/>
      <c r="F1297" s="184"/>
      <c r="G1297" s="185"/>
      <c r="H1297" s="186">
        <v>5288000</v>
      </c>
      <c r="I1297" s="187"/>
      <c r="J1297" s="2" t="s">
        <v>192</v>
      </c>
    </row>
    <row r="1298" spans="1:9" s="2" customFormat="1" ht="15">
      <c r="A1298" s="188"/>
      <c r="B1298" s="189"/>
      <c r="C1298" s="189"/>
      <c r="D1298" s="190"/>
      <c r="E1298" s="190"/>
      <c r="F1298" s="190"/>
      <c r="G1298" s="195" t="s">
        <v>1086</v>
      </c>
      <c r="H1298" s="191">
        <f>SUM(H1297)</f>
        <v>5288000</v>
      </c>
      <c r="I1298" s="187"/>
    </row>
    <row r="1299" spans="1:9" s="2" customFormat="1" ht="15">
      <c r="A1299" s="188"/>
      <c r="B1299" s="189"/>
      <c r="C1299" s="189"/>
      <c r="D1299" s="190"/>
      <c r="E1299" s="190"/>
      <c r="F1299" s="190"/>
      <c r="G1299" s="195"/>
      <c r="H1299" s="191"/>
      <c r="I1299" s="187"/>
    </row>
    <row r="1300" spans="1:9" s="2" customFormat="1" ht="15">
      <c r="A1300" s="188"/>
      <c r="B1300" s="189"/>
      <c r="C1300" s="189"/>
      <c r="D1300" s="190"/>
      <c r="E1300" s="190"/>
      <c r="F1300" s="190"/>
      <c r="G1300" s="195" t="s">
        <v>699</v>
      </c>
      <c r="H1300" s="191">
        <f>H1295+H1298</f>
        <v>5288000</v>
      </c>
      <c r="I1300" s="187"/>
    </row>
    <row r="1301" spans="1:9" s="199" customFormat="1" ht="15" hidden="1" outlineLevel="1">
      <c r="A1301" s="217"/>
      <c r="B1301" s="240"/>
      <c r="C1301" s="240"/>
      <c r="D1301" s="226"/>
      <c r="E1301" s="226"/>
      <c r="F1301" s="226"/>
      <c r="G1301" s="242"/>
      <c r="H1301" s="237"/>
      <c r="I1301" s="230"/>
    </row>
    <row r="1302" spans="1:10" s="199" customFormat="1" ht="15" hidden="1" outlineLevel="1">
      <c r="A1302" s="212">
        <v>42370</v>
      </c>
      <c r="B1302" s="213" t="s">
        <v>336</v>
      </c>
      <c r="C1302" s="213" t="s">
        <v>293</v>
      </c>
      <c r="D1302" s="215" t="s">
        <v>337</v>
      </c>
      <c r="E1302" s="215"/>
      <c r="F1302" s="215"/>
      <c r="G1302" s="222"/>
      <c r="H1302" s="239">
        <v>0</v>
      </c>
      <c r="I1302" s="230"/>
      <c r="J1302" s="199" t="s">
        <v>192</v>
      </c>
    </row>
    <row r="1303" spans="1:9" s="199" customFormat="1" ht="15" hidden="1" outlineLevel="1">
      <c r="A1303" s="217"/>
      <c r="B1303" s="240"/>
      <c r="C1303" s="240"/>
      <c r="D1303" s="226"/>
      <c r="E1303" s="226"/>
      <c r="F1303" s="226"/>
      <c r="G1303" s="242" t="s">
        <v>338</v>
      </c>
      <c r="H1303" s="237">
        <f>SUM(H1302)</f>
        <v>0</v>
      </c>
      <c r="I1303" s="230"/>
    </row>
    <row r="1304" spans="1:9" s="199" customFormat="1" ht="15" hidden="1" outlineLevel="1">
      <c r="A1304" s="217"/>
      <c r="B1304" s="240"/>
      <c r="C1304" s="240"/>
      <c r="D1304" s="226"/>
      <c r="E1304" s="226"/>
      <c r="F1304" s="226"/>
      <c r="G1304" s="242"/>
      <c r="H1304" s="237"/>
      <c r="I1304" s="230"/>
    </row>
    <row r="1305" spans="1:10" s="199" customFormat="1" ht="15" hidden="1" outlineLevel="1">
      <c r="A1305" s="212">
        <v>42658</v>
      </c>
      <c r="B1305" s="213" t="s">
        <v>336</v>
      </c>
      <c r="C1305" s="213" t="s">
        <v>874</v>
      </c>
      <c r="D1305" s="215" t="s">
        <v>842</v>
      </c>
      <c r="E1305" s="215"/>
      <c r="F1305" s="215"/>
      <c r="G1305" s="222"/>
      <c r="H1305" s="239">
        <v>0</v>
      </c>
      <c r="I1305" s="230"/>
      <c r="J1305" s="199" t="s">
        <v>1369</v>
      </c>
    </row>
    <row r="1306" spans="1:9" s="199" customFormat="1" ht="15" hidden="1" outlineLevel="1">
      <c r="A1306" s="217"/>
      <c r="B1306" s="240"/>
      <c r="C1306" s="240"/>
      <c r="D1306" s="226"/>
      <c r="E1306" s="226"/>
      <c r="F1306" s="226"/>
      <c r="G1306" s="242" t="s">
        <v>1368</v>
      </c>
      <c r="H1306" s="237">
        <f>SUM(H1305)</f>
        <v>0</v>
      </c>
      <c r="I1306" s="230"/>
    </row>
    <row r="1307" spans="1:9" s="199" customFormat="1" ht="15" hidden="1" outlineLevel="1">
      <c r="A1307" s="217"/>
      <c r="B1307" s="240"/>
      <c r="C1307" s="240"/>
      <c r="D1307" s="226"/>
      <c r="E1307" s="226"/>
      <c r="F1307" s="226"/>
      <c r="G1307" s="242"/>
      <c r="H1307" s="237"/>
      <c r="I1307" s="230"/>
    </row>
    <row r="1308" spans="1:10" s="199" customFormat="1" ht="15" hidden="1" outlineLevel="1">
      <c r="A1308" s="212">
        <v>42658</v>
      </c>
      <c r="B1308" s="213" t="s">
        <v>336</v>
      </c>
      <c r="C1308" s="213" t="s">
        <v>821</v>
      </c>
      <c r="D1308" s="215" t="s">
        <v>842</v>
      </c>
      <c r="E1308" s="215"/>
      <c r="F1308" s="215"/>
      <c r="G1308" s="222"/>
      <c r="H1308" s="239">
        <v>0</v>
      </c>
      <c r="I1308" s="230"/>
      <c r="J1308" s="199" t="s">
        <v>1369</v>
      </c>
    </row>
    <row r="1309" spans="1:10" s="199" customFormat="1" ht="15" hidden="1" outlineLevel="1">
      <c r="A1309" s="212">
        <v>42346</v>
      </c>
      <c r="B1309" s="213" t="s">
        <v>336</v>
      </c>
      <c r="C1309" s="213" t="s">
        <v>825</v>
      </c>
      <c r="D1309" s="215" t="s">
        <v>843</v>
      </c>
      <c r="E1309" s="215"/>
      <c r="F1309" s="215"/>
      <c r="G1309" s="222"/>
      <c r="H1309" s="239">
        <v>0</v>
      </c>
      <c r="I1309" s="230"/>
      <c r="J1309" s="199" t="s">
        <v>824</v>
      </c>
    </row>
    <row r="1310" spans="1:9" s="199" customFormat="1" ht="15" hidden="1" outlineLevel="1">
      <c r="A1310" s="217"/>
      <c r="B1310" s="240"/>
      <c r="C1310" s="240"/>
      <c r="D1310" s="226"/>
      <c r="E1310" s="226"/>
      <c r="F1310" s="226"/>
      <c r="G1310" s="242" t="s">
        <v>844</v>
      </c>
      <c r="H1310" s="237">
        <f>SUM(H1308:H1309)</f>
        <v>0</v>
      </c>
      <c r="I1310" s="230"/>
    </row>
    <row r="1311" spans="1:9" s="199" customFormat="1" ht="15" hidden="1" outlineLevel="1">
      <c r="A1311" s="217"/>
      <c r="B1311" s="240"/>
      <c r="C1311" s="240"/>
      <c r="D1311" s="226"/>
      <c r="E1311" s="226"/>
      <c r="F1311" s="226"/>
      <c r="G1311" s="242"/>
      <c r="H1311" s="237"/>
      <c r="I1311" s="230"/>
    </row>
    <row r="1312" spans="1:9" s="199" customFormat="1" ht="15" hidden="1" outlineLevel="1">
      <c r="A1312" s="217"/>
      <c r="B1312" s="240"/>
      <c r="C1312" s="240"/>
      <c r="D1312" s="226"/>
      <c r="E1312" s="226"/>
      <c r="F1312" s="226"/>
      <c r="G1312" s="242" t="s">
        <v>845</v>
      </c>
      <c r="H1312" s="237">
        <f>H1303+H1306+H1310</f>
        <v>0</v>
      </c>
      <c r="I1312" s="230"/>
    </row>
    <row r="1313" spans="1:9" s="2" customFormat="1" ht="15" collapsed="1">
      <c r="A1313" s="188"/>
      <c r="B1313" s="189"/>
      <c r="C1313" s="189"/>
      <c r="D1313" s="190"/>
      <c r="E1313" s="190"/>
      <c r="F1313" s="190"/>
      <c r="G1313" s="195"/>
      <c r="H1313" s="191"/>
      <c r="I1313" s="187"/>
    </row>
    <row r="1314" spans="1:14" s="2" customFormat="1" ht="15">
      <c r="A1314" s="182">
        <v>42736</v>
      </c>
      <c r="B1314" s="183" t="s">
        <v>339</v>
      </c>
      <c r="C1314" s="183" t="s">
        <v>293</v>
      </c>
      <c r="D1314" s="184" t="s">
        <v>340</v>
      </c>
      <c r="E1314" s="184"/>
      <c r="F1314" s="184"/>
      <c r="G1314" s="185"/>
      <c r="H1314" s="186">
        <v>520860</v>
      </c>
      <c r="I1314" s="187"/>
      <c r="J1314" s="2" t="s">
        <v>192</v>
      </c>
      <c r="N1314" s="279"/>
    </row>
    <row r="1315" spans="1:9" s="2" customFormat="1" ht="15">
      <c r="A1315" s="188"/>
      <c r="B1315" s="189"/>
      <c r="C1315" s="189"/>
      <c r="D1315" s="190"/>
      <c r="E1315" s="190"/>
      <c r="F1315" s="190"/>
      <c r="G1315" s="195" t="s">
        <v>341</v>
      </c>
      <c r="H1315" s="191">
        <f>SUM(H1314)</f>
        <v>520860</v>
      </c>
      <c r="I1315" s="187"/>
    </row>
    <row r="1316" spans="1:9" s="199" customFormat="1" ht="15" hidden="1" outlineLevel="1">
      <c r="A1316" s="217"/>
      <c r="B1316" s="240"/>
      <c r="C1316" s="240"/>
      <c r="D1316" s="226"/>
      <c r="E1316" s="226"/>
      <c r="F1316" s="226"/>
      <c r="G1316" s="242"/>
      <c r="H1316" s="237"/>
      <c r="I1316" s="230"/>
    </row>
    <row r="1317" spans="1:10" s="199" customFormat="1" ht="15" hidden="1" outlineLevel="1">
      <c r="A1317" s="212">
        <v>42658</v>
      </c>
      <c r="B1317" s="213" t="s">
        <v>339</v>
      </c>
      <c r="C1317" s="213" t="s">
        <v>874</v>
      </c>
      <c r="D1317" s="215" t="s">
        <v>1371</v>
      </c>
      <c r="E1317" s="215"/>
      <c r="F1317" s="215"/>
      <c r="G1317" s="222"/>
      <c r="H1317" s="239">
        <v>0</v>
      </c>
      <c r="I1317" s="230"/>
      <c r="J1317" s="199" t="s">
        <v>1358</v>
      </c>
    </row>
    <row r="1318" spans="1:9" s="199" customFormat="1" ht="15" hidden="1" outlineLevel="1">
      <c r="A1318" s="217"/>
      <c r="B1318" s="240"/>
      <c r="C1318" s="240"/>
      <c r="D1318" s="226"/>
      <c r="E1318" s="226"/>
      <c r="F1318" s="226"/>
      <c r="G1318" s="242" t="s">
        <v>1370</v>
      </c>
      <c r="H1318" s="237">
        <f>SUM(H1317)</f>
        <v>0</v>
      </c>
      <c r="I1318" s="230"/>
    </row>
    <row r="1319" spans="1:9" s="199" customFormat="1" ht="15" hidden="1" outlineLevel="1">
      <c r="A1319" s="217"/>
      <c r="B1319" s="240"/>
      <c r="C1319" s="240"/>
      <c r="D1319" s="226"/>
      <c r="E1319" s="226"/>
      <c r="F1319" s="226"/>
      <c r="G1319" s="242"/>
      <c r="H1319" s="237"/>
      <c r="I1319" s="230"/>
    </row>
    <row r="1320" spans="1:10" s="199" customFormat="1" ht="15" hidden="1" outlineLevel="1">
      <c r="A1320" s="212">
        <v>42796</v>
      </c>
      <c r="B1320" s="213" t="s">
        <v>339</v>
      </c>
      <c r="C1320" s="213" t="s">
        <v>87</v>
      </c>
      <c r="D1320" s="215" t="s">
        <v>1523</v>
      </c>
      <c r="E1320" s="215"/>
      <c r="F1320" s="215"/>
      <c r="G1320" s="222"/>
      <c r="H1320" s="239">
        <v>0</v>
      </c>
      <c r="I1320" s="230" t="s">
        <v>1513</v>
      </c>
      <c r="J1320" s="199" t="s">
        <v>103</v>
      </c>
    </row>
    <row r="1321" spans="1:10" s="199" customFormat="1" ht="15" hidden="1" outlineLevel="1">
      <c r="A1321" s="212">
        <v>42370</v>
      </c>
      <c r="B1321" s="213" t="s">
        <v>339</v>
      </c>
      <c r="C1321" s="213" t="s">
        <v>1052</v>
      </c>
      <c r="D1321" s="215" t="s">
        <v>1059</v>
      </c>
      <c r="E1321" s="215"/>
      <c r="F1321" s="215"/>
      <c r="G1321" s="222"/>
      <c r="H1321" s="239">
        <v>0</v>
      </c>
      <c r="I1321" s="230"/>
      <c r="J1321" s="199" t="s">
        <v>192</v>
      </c>
    </row>
    <row r="1322" spans="1:9" s="199" customFormat="1" ht="15" hidden="1" outlineLevel="1">
      <c r="A1322" s="217"/>
      <c r="B1322" s="240"/>
      <c r="C1322" s="240"/>
      <c r="D1322" s="226"/>
      <c r="E1322" s="226"/>
      <c r="F1322" s="226"/>
      <c r="G1322" s="242" t="s">
        <v>846</v>
      </c>
      <c r="H1322" s="237">
        <f>SUM(H1320:H1321)</f>
        <v>0</v>
      </c>
      <c r="I1322" s="230"/>
    </row>
    <row r="1323" spans="1:9" s="2" customFormat="1" ht="15" collapsed="1">
      <c r="A1323" s="188"/>
      <c r="B1323" s="189"/>
      <c r="C1323" s="189"/>
      <c r="D1323" s="190"/>
      <c r="E1323" s="190"/>
      <c r="F1323" s="190"/>
      <c r="G1323" s="195"/>
      <c r="H1323" s="191"/>
      <c r="I1323" s="187"/>
    </row>
    <row r="1324" spans="1:10" s="2" customFormat="1" ht="15">
      <c r="A1324" s="182">
        <v>42736</v>
      </c>
      <c r="B1324" s="183" t="s">
        <v>339</v>
      </c>
      <c r="C1324" s="183" t="s">
        <v>402</v>
      </c>
      <c r="D1324" s="184" t="s">
        <v>1658</v>
      </c>
      <c r="E1324" s="184"/>
      <c r="F1324" s="184"/>
      <c r="G1324" s="185"/>
      <c r="H1324" s="186">
        <v>381110</v>
      </c>
      <c r="I1324" s="187"/>
      <c r="J1324" s="2" t="s">
        <v>192</v>
      </c>
    </row>
    <row r="1325" spans="1:9" s="2" customFormat="1" ht="15">
      <c r="A1325" s="188"/>
      <c r="B1325" s="189"/>
      <c r="C1325" s="189"/>
      <c r="D1325" s="190"/>
      <c r="E1325" s="190"/>
      <c r="F1325" s="190"/>
      <c r="G1325" s="195" t="s">
        <v>1659</v>
      </c>
      <c r="H1325" s="191">
        <f>SUM(H1324:H1324)</f>
        <v>381110</v>
      </c>
      <c r="I1325" s="187"/>
    </row>
    <row r="1326" spans="1:9" s="2" customFormat="1" ht="15">
      <c r="A1326" s="188"/>
      <c r="B1326" s="189"/>
      <c r="C1326" s="189"/>
      <c r="D1326" s="190"/>
      <c r="E1326" s="190"/>
      <c r="F1326" s="190"/>
      <c r="G1326" s="195"/>
      <c r="H1326" s="191"/>
      <c r="I1326" s="187"/>
    </row>
    <row r="1327" spans="1:9" s="2" customFormat="1" ht="15">
      <c r="A1327" s="188"/>
      <c r="B1327" s="189"/>
      <c r="C1327" s="189"/>
      <c r="D1327" s="190"/>
      <c r="E1327" s="190"/>
      <c r="F1327" s="190"/>
      <c r="G1327" s="195" t="s">
        <v>847</v>
      </c>
      <c r="H1327" s="191">
        <f>H1315+H1318+H1322+H1325</f>
        <v>901970</v>
      </c>
      <c r="I1327" s="187"/>
    </row>
    <row r="1328" spans="1:9" s="2" customFormat="1" ht="15">
      <c r="A1328" s="188"/>
      <c r="B1328" s="189"/>
      <c r="C1328" s="189"/>
      <c r="D1328" s="190"/>
      <c r="E1328" s="190"/>
      <c r="F1328" s="190"/>
      <c r="G1328" s="195"/>
      <c r="H1328" s="191"/>
      <c r="I1328" s="187"/>
    </row>
    <row r="1329" spans="1:10" s="199" customFormat="1" ht="15" hidden="1" outlineLevel="1">
      <c r="A1329" s="217">
        <v>42370</v>
      </c>
      <c r="B1329" s="240" t="s">
        <v>342</v>
      </c>
      <c r="C1329" s="240" t="s">
        <v>293</v>
      </c>
      <c r="D1329" s="226" t="s">
        <v>343</v>
      </c>
      <c r="E1329" s="226"/>
      <c r="F1329" s="226"/>
      <c r="G1329" s="242"/>
      <c r="H1329" s="237">
        <v>0</v>
      </c>
      <c r="I1329" s="230"/>
      <c r="J1329" s="199" t="s">
        <v>192</v>
      </c>
    </row>
    <row r="1330" spans="1:10" s="2" customFormat="1" ht="15" collapsed="1">
      <c r="A1330" s="182">
        <v>42736</v>
      </c>
      <c r="B1330" s="183" t="s">
        <v>342</v>
      </c>
      <c r="C1330" s="183" t="s">
        <v>279</v>
      </c>
      <c r="D1330" s="184" t="s">
        <v>344</v>
      </c>
      <c r="E1330" s="184"/>
      <c r="F1330" s="184"/>
      <c r="G1330" s="185"/>
      <c r="H1330" s="186">
        <v>53283</v>
      </c>
      <c r="I1330" s="187"/>
      <c r="J1330" s="2" t="s">
        <v>192</v>
      </c>
    </row>
    <row r="1331" spans="1:9" s="2" customFormat="1" ht="15">
      <c r="A1331" s="188"/>
      <c r="B1331" s="189"/>
      <c r="C1331" s="189"/>
      <c r="D1331" s="190"/>
      <c r="E1331" s="190"/>
      <c r="F1331" s="190"/>
      <c r="G1331" s="195" t="s">
        <v>345</v>
      </c>
      <c r="H1331" s="191">
        <f>SUM(H1329:H1330)</f>
        <v>53283</v>
      </c>
      <c r="I1331" s="187"/>
    </row>
    <row r="1332" spans="1:9" s="2" customFormat="1" ht="15">
      <c r="A1332" s="188"/>
      <c r="B1332" s="189"/>
      <c r="C1332" s="189"/>
      <c r="D1332" s="190"/>
      <c r="E1332" s="190"/>
      <c r="F1332" s="190"/>
      <c r="G1332" s="195"/>
      <c r="H1332" s="191"/>
      <c r="I1332" s="187"/>
    </row>
    <row r="1333" spans="1:10" s="2" customFormat="1" ht="15">
      <c r="A1333" s="182">
        <v>42736</v>
      </c>
      <c r="B1333" s="183" t="s">
        <v>342</v>
      </c>
      <c r="C1333" s="183" t="s">
        <v>1197</v>
      </c>
      <c r="D1333" s="184" t="s">
        <v>1660</v>
      </c>
      <c r="E1333" s="184"/>
      <c r="F1333" s="184"/>
      <c r="G1333" s="185"/>
      <c r="H1333" s="186">
        <v>-6705000</v>
      </c>
      <c r="I1333" s="187"/>
      <c r="J1333" s="2" t="s">
        <v>192</v>
      </c>
    </row>
    <row r="1334" spans="1:9" s="2" customFormat="1" ht="15">
      <c r="A1334" s="188"/>
      <c r="B1334" s="189"/>
      <c r="C1334" s="189"/>
      <c r="D1334" s="190"/>
      <c r="E1334" s="190"/>
      <c r="F1334" s="190"/>
      <c r="G1334" s="195" t="s">
        <v>1087</v>
      </c>
      <c r="H1334" s="191">
        <f>SUM(H1333)</f>
        <v>-6705000</v>
      </c>
      <c r="I1334" s="187"/>
    </row>
    <row r="1335" spans="1:9" s="2" customFormat="1" ht="15">
      <c r="A1335" s="188"/>
      <c r="B1335" s="189"/>
      <c r="C1335" s="189"/>
      <c r="D1335" s="190"/>
      <c r="E1335" s="190"/>
      <c r="F1335" s="190"/>
      <c r="G1335" s="195"/>
      <c r="H1335" s="191"/>
      <c r="I1335" s="187"/>
    </row>
    <row r="1336" spans="1:9" s="2" customFormat="1" ht="15">
      <c r="A1336" s="188"/>
      <c r="B1336" s="189"/>
      <c r="C1336" s="189"/>
      <c r="D1336" s="190"/>
      <c r="E1336" s="190"/>
      <c r="F1336" s="190"/>
      <c r="G1336" s="195" t="s">
        <v>1145</v>
      </c>
      <c r="H1336" s="191">
        <f>H1331+H1334</f>
        <v>-6651717</v>
      </c>
      <c r="I1336" s="187"/>
    </row>
    <row r="1337" spans="1:9" s="199" customFormat="1" ht="15" hidden="1" outlineLevel="1">
      <c r="A1337" s="217"/>
      <c r="B1337" s="240"/>
      <c r="C1337" s="240"/>
      <c r="D1337" s="226"/>
      <c r="E1337" s="226"/>
      <c r="F1337" s="226"/>
      <c r="G1337" s="242"/>
      <c r="H1337" s="237"/>
      <c r="I1337" s="230"/>
    </row>
    <row r="1338" spans="1:10" s="199" customFormat="1" ht="15" hidden="1" outlineLevel="1">
      <c r="A1338" s="212">
        <v>42370</v>
      </c>
      <c r="B1338" s="213" t="s">
        <v>346</v>
      </c>
      <c r="C1338" s="213" t="s">
        <v>293</v>
      </c>
      <c r="D1338" s="215" t="s">
        <v>347</v>
      </c>
      <c r="E1338" s="215"/>
      <c r="F1338" s="215"/>
      <c r="G1338" s="222"/>
      <c r="H1338" s="239">
        <v>0</v>
      </c>
      <c r="I1338" s="230"/>
      <c r="J1338" s="199" t="s">
        <v>192</v>
      </c>
    </row>
    <row r="1339" spans="1:9" s="199" customFormat="1" ht="15" hidden="1" outlineLevel="1">
      <c r="A1339" s="217"/>
      <c r="B1339" s="240"/>
      <c r="C1339" s="240"/>
      <c r="D1339" s="226"/>
      <c r="E1339" s="226"/>
      <c r="F1339" s="226"/>
      <c r="G1339" s="242" t="s">
        <v>348</v>
      </c>
      <c r="H1339" s="237">
        <f>SUM(H1338)</f>
        <v>0</v>
      </c>
      <c r="I1339" s="230"/>
    </row>
    <row r="1340" spans="1:9" s="199" customFormat="1" ht="15" hidden="1" outlineLevel="1">
      <c r="A1340" s="217"/>
      <c r="B1340" s="240"/>
      <c r="C1340" s="240"/>
      <c r="D1340" s="226"/>
      <c r="E1340" s="226"/>
      <c r="F1340" s="226"/>
      <c r="G1340" s="242"/>
      <c r="H1340" s="237"/>
      <c r="I1340" s="230"/>
    </row>
    <row r="1341" spans="1:10" s="199" customFormat="1" ht="15" hidden="1" outlineLevel="1">
      <c r="A1341" s="212">
        <v>42658</v>
      </c>
      <c r="B1341" s="213" t="s">
        <v>346</v>
      </c>
      <c r="C1341" s="213" t="s">
        <v>874</v>
      </c>
      <c r="D1341" s="215" t="s">
        <v>1372</v>
      </c>
      <c r="E1341" s="215"/>
      <c r="F1341" s="215"/>
      <c r="G1341" s="222"/>
      <c r="H1341" s="239">
        <v>0</v>
      </c>
      <c r="I1341" s="230"/>
      <c r="J1341" s="199" t="s">
        <v>1358</v>
      </c>
    </row>
    <row r="1342" spans="1:9" s="199" customFormat="1" ht="15" hidden="1" outlineLevel="1">
      <c r="A1342" s="217"/>
      <c r="B1342" s="240"/>
      <c r="C1342" s="240"/>
      <c r="D1342" s="226"/>
      <c r="E1342" s="226"/>
      <c r="F1342" s="226"/>
      <c r="G1342" s="242" t="s">
        <v>1373</v>
      </c>
      <c r="H1342" s="237">
        <f>SUM(H1341)</f>
        <v>0</v>
      </c>
      <c r="I1342" s="230"/>
    </row>
    <row r="1343" spans="1:9" s="2" customFormat="1" ht="15" collapsed="1">
      <c r="A1343" s="188"/>
      <c r="B1343" s="189"/>
      <c r="C1343" s="189"/>
      <c r="D1343" s="190"/>
      <c r="E1343" s="190"/>
      <c r="F1343" s="190"/>
      <c r="G1343" s="195"/>
      <c r="H1343" s="191"/>
      <c r="I1343" s="187"/>
    </row>
    <row r="1344" spans="1:10" s="2" customFormat="1" ht="15">
      <c r="A1344" s="182">
        <v>42881</v>
      </c>
      <c r="B1344" s="183" t="s">
        <v>346</v>
      </c>
      <c r="C1344" s="183" t="s">
        <v>821</v>
      </c>
      <c r="D1344" s="184" t="s">
        <v>1598</v>
      </c>
      <c r="E1344" s="184"/>
      <c r="F1344" s="184"/>
      <c r="G1344" s="185"/>
      <c r="H1344" s="186">
        <v>1440000</v>
      </c>
      <c r="I1344" s="187"/>
      <c r="J1344" s="2" t="s">
        <v>103</v>
      </c>
    </row>
    <row r="1345" spans="1:9" s="2" customFormat="1" ht="15">
      <c r="A1345" s="188"/>
      <c r="B1345" s="189"/>
      <c r="C1345" s="189"/>
      <c r="D1345" s="190"/>
      <c r="E1345" s="190"/>
      <c r="F1345" s="190"/>
      <c r="G1345" s="195" t="s">
        <v>848</v>
      </c>
      <c r="H1345" s="191">
        <f>SUM(H1344:H1344)</f>
        <v>1440000</v>
      </c>
      <c r="I1345" s="187"/>
    </row>
    <row r="1346" spans="1:9" s="2" customFormat="1" ht="15">
      <c r="A1346" s="188"/>
      <c r="B1346" s="189"/>
      <c r="C1346" s="189"/>
      <c r="D1346" s="190"/>
      <c r="E1346" s="190"/>
      <c r="F1346" s="190"/>
      <c r="G1346" s="195"/>
      <c r="H1346" s="191"/>
      <c r="I1346" s="187"/>
    </row>
    <row r="1347" spans="1:9" s="2" customFormat="1" ht="15">
      <c r="A1347" s="188"/>
      <c r="B1347" s="189"/>
      <c r="C1347" s="189"/>
      <c r="D1347" s="190"/>
      <c r="E1347" s="190"/>
      <c r="F1347" s="190"/>
      <c r="G1347" s="195" t="s">
        <v>849</v>
      </c>
      <c r="H1347" s="191">
        <f>H1339+H1342+H1345</f>
        <v>1440000</v>
      </c>
      <c r="I1347" s="187"/>
    </row>
    <row r="1348" spans="1:9" s="2" customFormat="1" ht="15">
      <c r="A1348" s="188"/>
      <c r="B1348" s="189"/>
      <c r="C1348" s="189"/>
      <c r="D1348" s="190"/>
      <c r="E1348" s="190"/>
      <c r="F1348" s="190"/>
      <c r="G1348" s="195"/>
      <c r="H1348" s="191"/>
      <c r="I1348" s="187"/>
    </row>
    <row r="1349" spans="1:10" s="199" customFormat="1" ht="15" hidden="1" outlineLevel="1">
      <c r="A1349" s="225">
        <v>42370</v>
      </c>
      <c r="B1349" s="218" t="s">
        <v>349</v>
      </c>
      <c r="C1349" s="218" t="s">
        <v>293</v>
      </c>
      <c r="D1349" s="216" t="s">
        <v>350</v>
      </c>
      <c r="E1349" s="216"/>
      <c r="F1349" s="216"/>
      <c r="G1349" s="207"/>
      <c r="H1349" s="245">
        <v>0</v>
      </c>
      <c r="I1349" s="230"/>
      <c r="J1349" s="199" t="s">
        <v>192</v>
      </c>
    </row>
    <row r="1350" spans="1:10" s="199" customFormat="1" ht="15" hidden="1" outlineLevel="1">
      <c r="A1350" s="225">
        <v>42370</v>
      </c>
      <c r="B1350" s="218" t="s">
        <v>349</v>
      </c>
      <c r="C1350" s="218" t="s">
        <v>293</v>
      </c>
      <c r="D1350" s="216" t="s">
        <v>351</v>
      </c>
      <c r="E1350" s="216"/>
      <c r="F1350" s="216"/>
      <c r="G1350" s="207"/>
      <c r="H1350" s="245">
        <v>0</v>
      </c>
      <c r="I1350" s="230"/>
      <c r="J1350" s="199" t="s">
        <v>192</v>
      </c>
    </row>
    <row r="1351" spans="1:10" s="199" customFormat="1" ht="15" hidden="1" outlineLevel="1">
      <c r="A1351" s="225">
        <v>42370</v>
      </c>
      <c r="B1351" s="218" t="s">
        <v>349</v>
      </c>
      <c r="C1351" s="218" t="s">
        <v>293</v>
      </c>
      <c r="D1351" s="216" t="s">
        <v>352</v>
      </c>
      <c r="E1351" s="216"/>
      <c r="F1351" s="216"/>
      <c r="G1351" s="207"/>
      <c r="H1351" s="245">
        <v>0</v>
      </c>
      <c r="I1351" s="230"/>
      <c r="J1351" s="199" t="s">
        <v>192</v>
      </c>
    </row>
    <row r="1352" spans="1:10" s="199" customFormat="1" ht="15" hidden="1" outlineLevel="1">
      <c r="A1352" s="225">
        <v>42370</v>
      </c>
      <c r="B1352" s="218" t="s">
        <v>349</v>
      </c>
      <c r="C1352" s="218" t="s">
        <v>293</v>
      </c>
      <c r="D1352" s="216" t="s">
        <v>353</v>
      </c>
      <c r="E1352" s="216"/>
      <c r="F1352" s="216"/>
      <c r="G1352" s="207"/>
      <c r="H1352" s="245">
        <v>0</v>
      </c>
      <c r="I1352" s="230"/>
      <c r="J1352" s="199" t="s">
        <v>192</v>
      </c>
    </row>
    <row r="1353" spans="1:10" s="199" customFormat="1" ht="15" hidden="1" outlineLevel="1">
      <c r="A1353" s="225">
        <v>42370</v>
      </c>
      <c r="B1353" s="218" t="s">
        <v>349</v>
      </c>
      <c r="C1353" s="218" t="s">
        <v>293</v>
      </c>
      <c r="D1353" s="216" t="s">
        <v>354</v>
      </c>
      <c r="E1353" s="216"/>
      <c r="F1353" s="216"/>
      <c r="G1353" s="207"/>
      <c r="H1353" s="245">
        <v>0</v>
      </c>
      <c r="I1353" s="230"/>
      <c r="J1353" s="199" t="s">
        <v>192</v>
      </c>
    </row>
    <row r="1354" spans="1:10" s="2" customFormat="1" ht="15" collapsed="1">
      <c r="A1354" s="182">
        <v>42736</v>
      </c>
      <c r="B1354" s="183" t="s">
        <v>349</v>
      </c>
      <c r="C1354" s="183" t="s">
        <v>293</v>
      </c>
      <c r="D1354" s="184" t="s">
        <v>1661</v>
      </c>
      <c r="E1354" s="184"/>
      <c r="F1354" s="184"/>
      <c r="G1354" s="185"/>
      <c r="H1354" s="186">
        <v>360253</v>
      </c>
      <c r="I1354" s="187"/>
      <c r="J1354" s="2" t="s">
        <v>192</v>
      </c>
    </row>
    <row r="1355" spans="1:9" s="2" customFormat="1" ht="15">
      <c r="A1355" s="188"/>
      <c r="B1355" s="189"/>
      <c r="C1355" s="189"/>
      <c r="D1355" s="190"/>
      <c r="E1355" s="190"/>
      <c r="F1355" s="190"/>
      <c r="G1355" s="195" t="s">
        <v>355</v>
      </c>
      <c r="H1355" s="191">
        <f>SUM(H1349:H1354)</f>
        <v>360253</v>
      </c>
      <c r="I1355" s="187"/>
    </row>
    <row r="1356" spans="1:9" s="2" customFormat="1" ht="15">
      <c r="A1356" s="188"/>
      <c r="B1356" s="189"/>
      <c r="C1356" s="189"/>
      <c r="D1356" s="190"/>
      <c r="E1356" s="190"/>
      <c r="F1356" s="190"/>
      <c r="G1356" s="195"/>
      <c r="H1356" s="191"/>
      <c r="I1356" s="187"/>
    </row>
    <row r="1357" spans="1:10" s="2" customFormat="1" ht="15">
      <c r="A1357" s="182">
        <v>42929</v>
      </c>
      <c r="B1357" s="183" t="s">
        <v>349</v>
      </c>
      <c r="C1357" s="183" t="s">
        <v>1687</v>
      </c>
      <c r="D1357" s="184" t="s">
        <v>1688</v>
      </c>
      <c r="E1357" s="184"/>
      <c r="F1357" s="184"/>
      <c r="G1357" s="185"/>
      <c r="H1357" s="186">
        <v>940000</v>
      </c>
      <c r="I1357" s="187"/>
      <c r="J1357" s="2" t="s">
        <v>1628</v>
      </c>
    </row>
    <row r="1358" spans="1:9" s="2" customFormat="1" ht="15">
      <c r="A1358" s="188"/>
      <c r="B1358" s="189"/>
      <c r="C1358" s="189"/>
      <c r="D1358" s="190"/>
      <c r="E1358" s="190"/>
      <c r="F1358" s="190"/>
      <c r="G1358" s="195" t="s">
        <v>1384</v>
      </c>
      <c r="H1358" s="191">
        <f>SUM(H1357)</f>
        <v>940000</v>
      </c>
      <c r="I1358" s="187"/>
    </row>
    <row r="1359" spans="1:9" s="2" customFormat="1" ht="15">
      <c r="A1359" s="188"/>
      <c r="B1359" s="189"/>
      <c r="C1359" s="189"/>
      <c r="D1359" s="190"/>
      <c r="E1359" s="190"/>
      <c r="F1359" s="190"/>
      <c r="G1359" s="195"/>
      <c r="H1359" s="191"/>
      <c r="I1359" s="187"/>
    </row>
    <row r="1360" spans="1:10" s="2" customFormat="1" ht="15">
      <c r="A1360" s="188">
        <v>42929</v>
      </c>
      <c r="B1360" s="189" t="s">
        <v>349</v>
      </c>
      <c r="C1360" s="189" t="s">
        <v>821</v>
      </c>
      <c r="D1360" s="190" t="s">
        <v>1689</v>
      </c>
      <c r="E1360" s="190"/>
      <c r="F1360" s="190"/>
      <c r="G1360" s="195"/>
      <c r="H1360" s="191">
        <v>1360000</v>
      </c>
      <c r="I1360" s="187"/>
      <c r="J1360" s="2" t="s">
        <v>1628</v>
      </c>
    </row>
    <row r="1361" spans="1:10" s="199" customFormat="1" ht="15" hidden="1" outlineLevel="1">
      <c r="A1361" s="225">
        <v>42370</v>
      </c>
      <c r="B1361" s="218" t="s">
        <v>339</v>
      </c>
      <c r="C1361" s="218" t="s">
        <v>1052</v>
      </c>
      <c r="D1361" s="216" t="s">
        <v>1060</v>
      </c>
      <c r="E1361" s="216"/>
      <c r="F1361" s="216"/>
      <c r="G1361" s="207"/>
      <c r="H1361" s="245">
        <v>0</v>
      </c>
      <c r="I1361" s="230"/>
      <c r="J1361" s="199" t="s">
        <v>192</v>
      </c>
    </row>
    <row r="1362" spans="1:10" s="199" customFormat="1" ht="15" hidden="1" outlineLevel="1">
      <c r="A1362" s="212">
        <v>42346</v>
      </c>
      <c r="B1362" s="213" t="s">
        <v>349</v>
      </c>
      <c r="C1362" s="213" t="s">
        <v>825</v>
      </c>
      <c r="D1362" s="215" t="s">
        <v>850</v>
      </c>
      <c r="E1362" s="215"/>
      <c r="F1362" s="215"/>
      <c r="G1362" s="222"/>
      <c r="H1362" s="239">
        <v>0</v>
      </c>
      <c r="I1362" s="230"/>
      <c r="J1362" s="199" t="s">
        <v>824</v>
      </c>
    </row>
    <row r="1363" spans="1:9" s="2" customFormat="1" ht="15" collapsed="1">
      <c r="A1363" s="188"/>
      <c r="B1363" s="189"/>
      <c r="C1363" s="189"/>
      <c r="D1363" s="190"/>
      <c r="E1363" s="190"/>
      <c r="F1363" s="190"/>
      <c r="G1363" s="195" t="s">
        <v>851</v>
      </c>
      <c r="H1363" s="191">
        <f>SUM(H1360:H1362)</f>
        <v>1360000</v>
      </c>
      <c r="I1363" s="187"/>
    </row>
    <row r="1364" spans="1:9" s="2" customFormat="1" ht="15">
      <c r="A1364" s="188"/>
      <c r="B1364" s="189"/>
      <c r="C1364" s="189"/>
      <c r="D1364" s="190"/>
      <c r="E1364" s="190"/>
      <c r="F1364" s="190"/>
      <c r="G1364" s="195"/>
      <c r="H1364" s="191"/>
      <c r="I1364" s="187"/>
    </row>
    <row r="1365" spans="1:10" s="2" customFormat="1" ht="15">
      <c r="A1365" s="182">
        <v>42736</v>
      </c>
      <c r="B1365" s="183" t="s">
        <v>349</v>
      </c>
      <c r="C1365" s="183" t="s">
        <v>399</v>
      </c>
      <c r="D1365" s="184" t="s">
        <v>1662</v>
      </c>
      <c r="E1365" s="184"/>
      <c r="F1365" s="184"/>
      <c r="G1365" s="185"/>
      <c r="H1365" s="186">
        <v>119999</v>
      </c>
      <c r="I1365" s="187"/>
      <c r="J1365" s="2" t="s">
        <v>192</v>
      </c>
    </row>
    <row r="1366" spans="1:9" s="2" customFormat="1" ht="15">
      <c r="A1366" s="188"/>
      <c r="B1366" s="189"/>
      <c r="C1366" s="189"/>
      <c r="D1366" s="190"/>
      <c r="E1366" s="190"/>
      <c r="F1366" s="190"/>
      <c r="G1366" s="195" t="s">
        <v>1045</v>
      </c>
      <c r="H1366" s="191">
        <f>SUM(H1365)</f>
        <v>119999</v>
      </c>
      <c r="I1366" s="187"/>
    </row>
    <row r="1367" spans="1:9" s="2" customFormat="1" ht="15">
      <c r="A1367" s="188"/>
      <c r="B1367" s="189"/>
      <c r="C1367" s="189"/>
      <c r="D1367" s="190"/>
      <c r="E1367" s="190"/>
      <c r="F1367" s="190"/>
      <c r="G1367" s="195"/>
      <c r="H1367" s="191"/>
      <c r="I1367" s="187"/>
    </row>
    <row r="1368" spans="1:9" s="2" customFormat="1" ht="15">
      <c r="A1368" s="188"/>
      <c r="B1368" s="189"/>
      <c r="C1368" s="189"/>
      <c r="D1368" s="190"/>
      <c r="E1368" s="190"/>
      <c r="F1368" s="190"/>
      <c r="G1368" s="195" t="s">
        <v>852</v>
      </c>
      <c r="H1368" s="191">
        <f>H1355+H1358+H1363+H1366</f>
        <v>2780252</v>
      </c>
      <c r="I1368" s="187"/>
    </row>
    <row r="1369" spans="1:9" s="199" customFormat="1" ht="15" hidden="1" outlineLevel="1">
      <c r="A1369" s="217"/>
      <c r="B1369" s="240"/>
      <c r="C1369" s="240"/>
      <c r="D1369" s="226"/>
      <c r="E1369" s="226"/>
      <c r="F1369" s="226"/>
      <c r="G1369" s="242"/>
      <c r="H1369" s="237"/>
      <c r="I1369" s="230"/>
    </row>
    <row r="1370" spans="1:10" s="199" customFormat="1" ht="15" hidden="1" outlineLevel="1">
      <c r="A1370" s="212">
        <v>42658</v>
      </c>
      <c r="B1370" s="213" t="s">
        <v>853</v>
      </c>
      <c r="C1370" s="213" t="s">
        <v>821</v>
      </c>
      <c r="D1370" s="215" t="s">
        <v>854</v>
      </c>
      <c r="E1370" s="215"/>
      <c r="F1370" s="215"/>
      <c r="G1370" s="222"/>
      <c r="H1370" s="239">
        <v>0</v>
      </c>
      <c r="I1370" s="230"/>
      <c r="J1370" s="199" t="s">
        <v>1358</v>
      </c>
    </row>
    <row r="1371" spans="1:10" s="199" customFormat="1" ht="15" hidden="1" outlineLevel="1">
      <c r="A1371" s="212">
        <v>42346</v>
      </c>
      <c r="B1371" s="213" t="s">
        <v>853</v>
      </c>
      <c r="C1371" s="213" t="s">
        <v>825</v>
      </c>
      <c r="D1371" s="215" t="s">
        <v>855</v>
      </c>
      <c r="E1371" s="215"/>
      <c r="F1371" s="215"/>
      <c r="G1371" s="222"/>
      <c r="H1371" s="239">
        <v>0</v>
      </c>
      <c r="I1371" s="230"/>
      <c r="J1371" s="199" t="s">
        <v>824</v>
      </c>
    </row>
    <row r="1372" spans="1:9" s="199" customFormat="1" ht="15" hidden="1" outlineLevel="1">
      <c r="A1372" s="217"/>
      <c r="B1372" s="240"/>
      <c r="C1372" s="240"/>
      <c r="D1372" s="226"/>
      <c r="E1372" s="226"/>
      <c r="F1372" s="226"/>
      <c r="G1372" s="242" t="s">
        <v>856</v>
      </c>
      <c r="H1372" s="237">
        <f>SUM(H1370:H1371)</f>
        <v>0</v>
      </c>
      <c r="I1372" s="230"/>
    </row>
    <row r="1373" spans="1:9" s="199" customFormat="1" ht="15" hidden="1" outlineLevel="1">
      <c r="A1373" s="217"/>
      <c r="B1373" s="240"/>
      <c r="C1373" s="240"/>
      <c r="D1373" s="226"/>
      <c r="E1373" s="226"/>
      <c r="F1373" s="226"/>
      <c r="G1373" s="242"/>
      <c r="H1373" s="237"/>
      <c r="I1373" s="230"/>
    </row>
    <row r="1374" spans="1:9" s="199" customFormat="1" ht="15" hidden="1" outlineLevel="1">
      <c r="A1374" s="217"/>
      <c r="B1374" s="240"/>
      <c r="C1374" s="240"/>
      <c r="D1374" s="226"/>
      <c r="E1374" s="226"/>
      <c r="F1374" s="226"/>
      <c r="G1374" s="242"/>
      <c r="H1374" s="237"/>
      <c r="I1374" s="230"/>
    </row>
    <row r="1375" spans="1:10" s="199" customFormat="1" ht="15" hidden="1" outlineLevel="1">
      <c r="A1375" s="212">
        <v>42370</v>
      </c>
      <c r="B1375" s="213" t="s">
        <v>356</v>
      </c>
      <c r="C1375" s="213" t="s">
        <v>1203</v>
      </c>
      <c r="D1375" s="215" t="s">
        <v>1202</v>
      </c>
      <c r="E1375" s="215"/>
      <c r="F1375" s="215"/>
      <c r="G1375" s="222"/>
      <c r="H1375" s="239">
        <v>0</v>
      </c>
      <c r="I1375" s="230"/>
      <c r="J1375" s="199" t="s">
        <v>192</v>
      </c>
    </row>
    <row r="1376" spans="1:9" s="199" customFormat="1" ht="15" hidden="1" outlineLevel="1">
      <c r="A1376" s="217"/>
      <c r="B1376" s="240"/>
      <c r="C1376" s="240"/>
      <c r="D1376" s="226"/>
      <c r="E1376" s="226"/>
      <c r="F1376" s="226"/>
      <c r="G1376" s="242" t="s">
        <v>357</v>
      </c>
      <c r="H1376" s="237">
        <f>SUM(H1375:H1375)</f>
        <v>0</v>
      </c>
      <c r="I1376" s="230"/>
    </row>
    <row r="1377" spans="1:9" s="199" customFormat="1" ht="15" hidden="1" outlineLevel="1">
      <c r="A1377" s="217"/>
      <c r="B1377" s="240"/>
      <c r="C1377" s="240"/>
      <c r="D1377" s="226"/>
      <c r="E1377" s="226"/>
      <c r="F1377" s="226"/>
      <c r="G1377" s="242"/>
      <c r="H1377" s="237"/>
      <c r="I1377" s="230"/>
    </row>
    <row r="1378" spans="1:10" s="199" customFormat="1" ht="15" hidden="1" outlineLevel="1">
      <c r="A1378" s="212">
        <v>42658</v>
      </c>
      <c r="B1378" s="213" t="s">
        <v>356</v>
      </c>
      <c r="C1378" s="213" t="s">
        <v>874</v>
      </c>
      <c r="D1378" s="215" t="s">
        <v>1385</v>
      </c>
      <c r="E1378" s="215"/>
      <c r="F1378" s="215"/>
      <c r="G1378" s="222"/>
      <c r="H1378" s="239">
        <v>0</v>
      </c>
      <c r="I1378" s="230"/>
      <c r="J1378" s="199" t="s">
        <v>1358</v>
      </c>
    </row>
    <row r="1379" spans="1:9" s="199" customFormat="1" ht="15" hidden="1" outlineLevel="1">
      <c r="A1379" s="217"/>
      <c r="B1379" s="240"/>
      <c r="C1379" s="240"/>
      <c r="D1379" s="226"/>
      <c r="E1379" s="226"/>
      <c r="F1379" s="226"/>
      <c r="G1379" s="242" t="s">
        <v>1386</v>
      </c>
      <c r="H1379" s="237">
        <f>SUM(H1378:H1378)</f>
        <v>0</v>
      </c>
      <c r="I1379" s="230"/>
    </row>
    <row r="1380" spans="1:9" s="199" customFormat="1" ht="15" hidden="1" outlineLevel="1">
      <c r="A1380" s="217"/>
      <c r="B1380" s="240"/>
      <c r="C1380" s="240"/>
      <c r="D1380" s="226"/>
      <c r="E1380" s="226"/>
      <c r="F1380" s="226"/>
      <c r="G1380" s="242"/>
      <c r="H1380" s="237"/>
      <c r="I1380" s="230"/>
    </row>
    <row r="1381" spans="1:10" s="199" customFormat="1" ht="15" hidden="1" outlineLevel="1">
      <c r="A1381" s="225">
        <v>42346</v>
      </c>
      <c r="B1381" s="218" t="s">
        <v>356</v>
      </c>
      <c r="C1381" s="218" t="s">
        <v>821</v>
      </c>
      <c r="D1381" s="216" t="s">
        <v>857</v>
      </c>
      <c r="E1381" s="216"/>
      <c r="F1381" s="216"/>
      <c r="G1381" s="276"/>
      <c r="H1381" s="245">
        <v>0</v>
      </c>
      <c r="I1381" s="230"/>
      <c r="J1381" s="199" t="s">
        <v>1358</v>
      </c>
    </row>
    <row r="1382" spans="1:10" s="199" customFormat="1" ht="15" hidden="1" outlineLevel="1">
      <c r="A1382" s="225">
        <v>42370</v>
      </c>
      <c r="B1382" s="218" t="s">
        <v>356</v>
      </c>
      <c r="C1382" s="218" t="s">
        <v>1052</v>
      </c>
      <c r="D1382" s="216" t="s">
        <v>1122</v>
      </c>
      <c r="E1382" s="216"/>
      <c r="F1382" s="216"/>
      <c r="G1382" s="207"/>
      <c r="H1382" s="245">
        <v>0</v>
      </c>
      <c r="I1382" s="230"/>
      <c r="J1382" s="199" t="s">
        <v>192</v>
      </c>
    </row>
    <row r="1383" spans="1:10" s="199" customFormat="1" ht="15" hidden="1" outlineLevel="1">
      <c r="A1383" s="212">
        <v>42346</v>
      </c>
      <c r="B1383" s="213" t="s">
        <v>356</v>
      </c>
      <c r="C1383" s="213" t="s">
        <v>825</v>
      </c>
      <c r="D1383" s="215" t="s">
        <v>858</v>
      </c>
      <c r="E1383" s="215"/>
      <c r="F1383" s="215"/>
      <c r="G1383" s="222"/>
      <c r="H1383" s="239">
        <v>0</v>
      </c>
      <c r="I1383" s="230"/>
      <c r="J1383" s="199" t="s">
        <v>824</v>
      </c>
    </row>
    <row r="1384" spans="1:9" s="199" customFormat="1" ht="15" hidden="1" outlineLevel="1">
      <c r="A1384" s="217"/>
      <c r="B1384" s="240"/>
      <c r="C1384" s="240"/>
      <c r="D1384" s="226"/>
      <c r="E1384" s="226"/>
      <c r="F1384" s="226"/>
      <c r="G1384" s="242" t="s">
        <v>859</v>
      </c>
      <c r="H1384" s="237">
        <f>SUM(H1381:H1383)</f>
        <v>0</v>
      </c>
      <c r="I1384" s="230"/>
    </row>
    <row r="1385" spans="1:9" s="199" customFormat="1" ht="15" hidden="1" outlineLevel="1">
      <c r="A1385" s="217"/>
      <c r="B1385" s="240"/>
      <c r="C1385" s="240"/>
      <c r="D1385" s="226"/>
      <c r="E1385" s="226"/>
      <c r="F1385" s="226"/>
      <c r="G1385" s="242"/>
      <c r="H1385" s="237"/>
      <c r="I1385" s="230"/>
    </row>
    <row r="1386" spans="1:9" s="199" customFormat="1" ht="15" hidden="1" outlineLevel="1">
      <c r="A1386" s="217"/>
      <c r="B1386" s="240"/>
      <c r="C1386" s="240"/>
      <c r="D1386" s="226"/>
      <c r="E1386" s="226"/>
      <c r="F1386" s="226"/>
      <c r="G1386" s="242" t="s">
        <v>860</v>
      </c>
      <c r="H1386" s="237">
        <f>H1376+H1379+H1384</f>
        <v>0</v>
      </c>
      <c r="I1386" s="230"/>
    </row>
    <row r="1387" spans="1:9" s="2" customFormat="1" ht="15" collapsed="1">
      <c r="A1387" s="188"/>
      <c r="B1387" s="189"/>
      <c r="C1387" s="189"/>
      <c r="D1387" s="190"/>
      <c r="E1387" s="190"/>
      <c r="F1387" s="190"/>
      <c r="G1387" s="195"/>
      <c r="H1387" s="191"/>
      <c r="I1387" s="187"/>
    </row>
    <row r="1388" spans="1:10" s="2" customFormat="1" ht="15">
      <c r="A1388" s="182">
        <v>42736</v>
      </c>
      <c r="B1388" s="183" t="s">
        <v>409</v>
      </c>
      <c r="C1388" s="183" t="s">
        <v>293</v>
      </c>
      <c r="D1388" s="184" t="s">
        <v>1663</v>
      </c>
      <c r="E1388" s="184"/>
      <c r="F1388" s="184"/>
      <c r="G1388" s="185"/>
      <c r="H1388" s="186">
        <v>-20753116</v>
      </c>
      <c r="I1388" s="187"/>
      <c r="J1388" s="2" t="s">
        <v>192</v>
      </c>
    </row>
    <row r="1389" spans="1:9" s="2" customFormat="1" ht="15">
      <c r="A1389" s="188"/>
      <c r="B1389" s="189"/>
      <c r="C1389" s="189"/>
      <c r="D1389" s="190"/>
      <c r="E1389" s="190"/>
      <c r="F1389" s="190"/>
      <c r="G1389" s="195" t="s">
        <v>1664</v>
      </c>
      <c r="H1389" s="191">
        <f>SUM(H1388)</f>
        <v>-20753116</v>
      </c>
      <c r="I1389" s="187"/>
    </row>
    <row r="1390" spans="1:9" s="199" customFormat="1" ht="15" hidden="1" outlineLevel="1">
      <c r="A1390" s="217"/>
      <c r="B1390" s="240"/>
      <c r="C1390" s="240"/>
      <c r="D1390" s="226"/>
      <c r="E1390" s="226"/>
      <c r="F1390" s="226"/>
      <c r="G1390" s="242"/>
      <c r="H1390" s="237"/>
      <c r="I1390" s="230"/>
    </row>
    <row r="1391" spans="1:10" s="199" customFormat="1" ht="15" hidden="1" outlineLevel="1">
      <c r="A1391" s="212">
        <v>42370</v>
      </c>
      <c r="B1391" s="213" t="s">
        <v>409</v>
      </c>
      <c r="C1391" s="213" t="s">
        <v>1052</v>
      </c>
      <c r="D1391" s="215" t="s">
        <v>1061</v>
      </c>
      <c r="E1391" s="215"/>
      <c r="F1391" s="215"/>
      <c r="G1391" s="222"/>
      <c r="H1391" s="239">
        <v>0</v>
      </c>
      <c r="I1391" s="230"/>
      <c r="J1391" s="199" t="s">
        <v>192</v>
      </c>
    </row>
    <row r="1392" spans="1:9" s="199" customFormat="1" ht="15" hidden="1" outlineLevel="1">
      <c r="A1392" s="217"/>
      <c r="B1392" s="240"/>
      <c r="C1392" s="240"/>
      <c r="D1392" s="226"/>
      <c r="E1392" s="226"/>
      <c r="F1392" s="226"/>
      <c r="G1392" s="242" t="s">
        <v>1062</v>
      </c>
      <c r="H1392" s="237">
        <f>SUM(H1391)</f>
        <v>0</v>
      </c>
      <c r="I1392" s="230"/>
    </row>
    <row r="1393" spans="1:9" s="2" customFormat="1" ht="15" collapsed="1">
      <c r="A1393" s="188"/>
      <c r="B1393" s="189"/>
      <c r="C1393" s="189"/>
      <c r="D1393" s="190"/>
      <c r="E1393" s="190"/>
      <c r="F1393" s="190"/>
      <c r="G1393" s="195"/>
      <c r="H1393" s="191"/>
      <c r="I1393" s="187"/>
    </row>
    <row r="1394" spans="1:10" s="2" customFormat="1" ht="15">
      <c r="A1394" s="182">
        <v>42736</v>
      </c>
      <c r="B1394" s="183" t="s">
        <v>409</v>
      </c>
      <c r="C1394" s="183" t="s">
        <v>399</v>
      </c>
      <c r="D1394" s="184" t="s">
        <v>410</v>
      </c>
      <c r="E1394" s="184"/>
      <c r="F1394" s="184"/>
      <c r="G1394" s="185"/>
      <c r="H1394" s="186">
        <v>4774460</v>
      </c>
      <c r="I1394" s="187"/>
      <c r="J1394" s="2" t="s">
        <v>192</v>
      </c>
    </row>
    <row r="1395" spans="1:9" s="2" customFormat="1" ht="15">
      <c r="A1395" s="188"/>
      <c r="B1395" s="189"/>
      <c r="C1395" s="189"/>
      <c r="D1395" s="190"/>
      <c r="E1395" s="190"/>
      <c r="F1395" s="190"/>
      <c r="G1395" s="195" t="s">
        <v>411</v>
      </c>
      <c r="H1395" s="191">
        <f>SUM(H1394)</f>
        <v>4774460</v>
      </c>
      <c r="I1395" s="187"/>
    </row>
    <row r="1396" spans="1:9" s="2" customFormat="1" ht="15">
      <c r="A1396" s="188"/>
      <c r="B1396" s="189"/>
      <c r="C1396" s="189"/>
      <c r="D1396" s="190"/>
      <c r="E1396" s="190"/>
      <c r="F1396" s="190"/>
      <c r="G1396" s="195"/>
      <c r="H1396" s="191"/>
      <c r="I1396" s="187"/>
    </row>
    <row r="1397" spans="1:9" s="2" customFormat="1" ht="15">
      <c r="A1397" s="188"/>
      <c r="B1397" s="189"/>
      <c r="C1397" s="189"/>
      <c r="D1397" s="190"/>
      <c r="E1397" s="190"/>
      <c r="F1397" s="190"/>
      <c r="G1397" s="195" t="s">
        <v>1063</v>
      </c>
      <c r="H1397" s="191">
        <f>H1389+H1392+H1395</f>
        <v>-15978656</v>
      </c>
      <c r="I1397" s="187"/>
    </row>
    <row r="1398" spans="1:9" s="199" customFormat="1" ht="15" hidden="1" outlineLevel="1">
      <c r="A1398" s="217"/>
      <c r="B1398" s="240"/>
      <c r="C1398" s="240"/>
      <c r="D1398" s="226"/>
      <c r="E1398" s="226"/>
      <c r="F1398" s="226"/>
      <c r="G1398" s="242"/>
      <c r="H1398" s="237"/>
      <c r="I1398" s="230"/>
    </row>
    <row r="1399" spans="1:10" s="199" customFormat="1" ht="15" hidden="1" outlineLevel="1">
      <c r="A1399" s="212">
        <v>42370</v>
      </c>
      <c r="B1399" s="213" t="s">
        <v>358</v>
      </c>
      <c r="C1399" s="213" t="s">
        <v>293</v>
      </c>
      <c r="D1399" s="215" t="s">
        <v>359</v>
      </c>
      <c r="E1399" s="215"/>
      <c r="F1399" s="215"/>
      <c r="G1399" s="222"/>
      <c r="H1399" s="239">
        <v>0</v>
      </c>
      <c r="I1399" s="230"/>
      <c r="J1399" s="199" t="s">
        <v>192</v>
      </c>
    </row>
    <row r="1400" spans="1:9" s="199" customFormat="1" ht="15" hidden="1" outlineLevel="1">
      <c r="A1400" s="217"/>
      <c r="B1400" s="240"/>
      <c r="C1400" s="240"/>
      <c r="D1400" s="226"/>
      <c r="E1400" s="226"/>
      <c r="F1400" s="226"/>
      <c r="G1400" s="242" t="s">
        <v>360</v>
      </c>
      <c r="H1400" s="237">
        <f>SUM(H1399)</f>
        <v>0</v>
      </c>
      <c r="I1400" s="230"/>
    </row>
    <row r="1401" spans="1:9" s="199" customFormat="1" ht="15" hidden="1" outlineLevel="1">
      <c r="A1401" s="217"/>
      <c r="B1401" s="240"/>
      <c r="C1401" s="240"/>
      <c r="D1401" s="226"/>
      <c r="E1401" s="226"/>
      <c r="F1401" s="226"/>
      <c r="G1401" s="242"/>
      <c r="H1401" s="237"/>
      <c r="I1401" s="230"/>
    </row>
    <row r="1402" spans="1:10" s="199" customFormat="1" ht="15" hidden="1" outlineLevel="1">
      <c r="A1402" s="212">
        <v>42658</v>
      </c>
      <c r="B1402" s="213" t="s">
        <v>358</v>
      </c>
      <c r="C1402" s="213" t="s">
        <v>874</v>
      </c>
      <c r="D1402" s="215" t="s">
        <v>1374</v>
      </c>
      <c r="E1402" s="215"/>
      <c r="F1402" s="215"/>
      <c r="G1402" s="222"/>
      <c r="H1402" s="239">
        <v>0</v>
      </c>
      <c r="I1402" s="230"/>
      <c r="J1402" s="199" t="s">
        <v>1358</v>
      </c>
    </row>
    <row r="1403" spans="1:9" s="199" customFormat="1" ht="15" hidden="1" outlineLevel="1">
      <c r="A1403" s="217"/>
      <c r="B1403" s="240"/>
      <c r="C1403" s="240"/>
      <c r="D1403" s="226"/>
      <c r="E1403" s="226"/>
      <c r="F1403" s="226"/>
      <c r="G1403" s="242" t="s">
        <v>1375</v>
      </c>
      <c r="H1403" s="237">
        <f>SUM(H1402)</f>
        <v>0</v>
      </c>
      <c r="I1403" s="230"/>
    </row>
    <row r="1404" spans="1:9" s="199" customFormat="1" ht="15" hidden="1" outlineLevel="1">
      <c r="A1404" s="217"/>
      <c r="B1404" s="240"/>
      <c r="C1404" s="240"/>
      <c r="D1404" s="226"/>
      <c r="E1404" s="226"/>
      <c r="F1404" s="226"/>
      <c r="G1404" s="242"/>
      <c r="H1404" s="237"/>
      <c r="I1404" s="230"/>
    </row>
    <row r="1405" spans="1:10" s="199" customFormat="1" ht="15" hidden="1" outlineLevel="1">
      <c r="A1405" s="217">
        <v>42658</v>
      </c>
      <c r="B1405" s="240" t="s">
        <v>358</v>
      </c>
      <c r="C1405" s="240" t="s">
        <v>821</v>
      </c>
      <c r="D1405" s="226" t="s">
        <v>1376</v>
      </c>
      <c r="E1405" s="226"/>
      <c r="F1405" s="226"/>
      <c r="G1405" s="242"/>
      <c r="H1405" s="237">
        <v>0</v>
      </c>
      <c r="I1405" s="230"/>
      <c r="J1405" s="199" t="s">
        <v>1358</v>
      </c>
    </row>
    <row r="1406" spans="1:10" s="199" customFormat="1" ht="15" hidden="1" outlineLevel="1">
      <c r="A1406" s="212">
        <v>42346</v>
      </c>
      <c r="B1406" s="213" t="s">
        <v>358</v>
      </c>
      <c r="C1406" s="213" t="s">
        <v>825</v>
      </c>
      <c r="D1406" s="215" t="s">
        <v>861</v>
      </c>
      <c r="E1406" s="215"/>
      <c r="F1406" s="215"/>
      <c r="G1406" s="222"/>
      <c r="H1406" s="239">
        <v>0</v>
      </c>
      <c r="I1406" s="230"/>
      <c r="J1406" s="199" t="s">
        <v>824</v>
      </c>
    </row>
    <row r="1407" spans="1:9" s="199" customFormat="1" ht="15" hidden="1" outlineLevel="1">
      <c r="A1407" s="217"/>
      <c r="B1407" s="240"/>
      <c r="C1407" s="240"/>
      <c r="D1407" s="226"/>
      <c r="E1407" s="226"/>
      <c r="F1407" s="226"/>
      <c r="G1407" s="242" t="s">
        <v>862</v>
      </c>
      <c r="H1407" s="237">
        <f>SUM(H1405:H1406)</f>
        <v>0</v>
      </c>
      <c r="I1407" s="230"/>
    </row>
    <row r="1408" spans="1:9" s="199" customFormat="1" ht="15" hidden="1" outlineLevel="1">
      <c r="A1408" s="217"/>
      <c r="B1408" s="240"/>
      <c r="C1408" s="240"/>
      <c r="D1408" s="226"/>
      <c r="E1408" s="226"/>
      <c r="F1408" s="226"/>
      <c r="G1408" s="242"/>
      <c r="H1408" s="237"/>
      <c r="I1408" s="230"/>
    </row>
    <row r="1409" spans="1:9" s="199" customFormat="1" ht="15" hidden="1" outlineLevel="1">
      <c r="A1409" s="217"/>
      <c r="B1409" s="240"/>
      <c r="C1409" s="240"/>
      <c r="D1409" s="226"/>
      <c r="E1409" s="226"/>
      <c r="F1409" s="226"/>
      <c r="G1409" s="242" t="s">
        <v>863</v>
      </c>
      <c r="H1409" s="237">
        <f>H1400+H1403+H1407</f>
        <v>0</v>
      </c>
      <c r="I1409" s="230"/>
    </row>
    <row r="1410" spans="1:9" s="2" customFormat="1" ht="15" collapsed="1">
      <c r="A1410" s="188"/>
      <c r="B1410" s="189"/>
      <c r="C1410" s="189"/>
      <c r="D1410" s="190"/>
      <c r="E1410" s="190"/>
      <c r="F1410" s="190"/>
      <c r="G1410" s="195"/>
      <c r="H1410" s="191"/>
      <c r="I1410" s="187"/>
    </row>
    <row r="1411" spans="1:10" s="2" customFormat="1" ht="15">
      <c r="A1411" s="182">
        <v>42736</v>
      </c>
      <c r="B1411" s="183" t="s">
        <v>361</v>
      </c>
      <c r="C1411" s="183" t="s">
        <v>293</v>
      </c>
      <c r="D1411" s="184" t="s">
        <v>362</v>
      </c>
      <c r="E1411" s="184"/>
      <c r="F1411" s="184"/>
      <c r="G1411" s="185"/>
      <c r="H1411" s="186">
        <v>-1271920</v>
      </c>
      <c r="I1411" s="187"/>
      <c r="J1411" s="2" t="s">
        <v>192</v>
      </c>
    </row>
    <row r="1412" spans="1:9" s="2" customFormat="1" ht="15">
      <c r="A1412" s="188"/>
      <c r="B1412" s="189"/>
      <c r="C1412" s="189"/>
      <c r="D1412" s="190"/>
      <c r="E1412" s="190"/>
      <c r="F1412" s="190"/>
      <c r="G1412" s="195" t="s">
        <v>363</v>
      </c>
      <c r="H1412" s="191">
        <f>SUM(H1411)</f>
        <v>-1271920</v>
      </c>
      <c r="I1412" s="187"/>
    </row>
    <row r="1413" spans="1:9" s="199" customFormat="1" ht="15" hidden="1" outlineLevel="1">
      <c r="A1413" s="217"/>
      <c r="B1413" s="240"/>
      <c r="C1413" s="240"/>
      <c r="D1413" s="226"/>
      <c r="E1413" s="226"/>
      <c r="F1413" s="226"/>
      <c r="G1413" s="242"/>
      <c r="H1413" s="237"/>
      <c r="I1413" s="230"/>
    </row>
    <row r="1414" spans="1:10" s="199" customFormat="1" ht="15" hidden="1" outlineLevel="1">
      <c r="A1414" s="212">
        <v>42488</v>
      </c>
      <c r="B1414" s="213" t="s">
        <v>361</v>
      </c>
      <c r="C1414" s="213" t="s">
        <v>899</v>
      </c>
      <c r="D1414" s="215" t="s">
        <v>1007</v>
      </c>
      <c r="E1414" s="215"/>
      <c r="F1414" s="215"/>
      <c r="G1414" s="222"/>
      <c r="H1414" s="239">
        <v>0</v>
      </c>
      <c r="I1414" s="230" t="s">
        <v>1006</v>
      </c>
      <c r="J1414" s="199" t="s">
        <v>104</v>
      </c>
    </row>
    <row r="1415" spans="1:9" s="199" customFormat="1" ht="15" hidden="1" outlineLevel="1">
      <c r="A1415" s="217"/>
      <c r="B1415" s="240"/>
      <c r="C1415" s="240"/>
      <c r="D1415" s="226"/>
      <c r="E1415" s="226"/>
      <c r="F1415" s="226"/>
      <c r="G1415" s="242" t="s">
        <v>1008</v>
      </c>
      <c r="H1415" s="237">
        <f>SUM(H1414)</f>
        <v>0</v>
      </c>
      <c r="I1415" s="230"/>
    </row>
    <row r="1416" spans="1:9" s="2" customFormat="1" ht="15" collapsed="1">
      <c r="A1416" s="188"/>
      <c r="B1416" s="189"/>
      <c r="C1416" s="189"/>
      <c r="D1416" s="190"/>
      <c r="E1416" s="190"/>
      <c r="F1416" s="190"/>
      <c r="G1416" s="195"/>
      <c r="H1416" s="191"/>
      <c r="I1416" s="187"/>
    </row>
    <row r="1417" spans="1:10" s="2" customFormat="1" ht="15">
      <c r="A1417" s="182">
        <v>42736</v>
      </c>
      <c r="B1417" s="183" t="s">
        <v>361</v>
      </c>
      <c r="C1417" s="183" t="s">
        <v>399</v>
      </c>
      <c r="D1417" s="184" t="s">
        <v>1665</v>
      </c>
      <c r="E1417" s="184"/>
      <c r="F1417" s="184"/>
      <c r="G1417" s="185"/>
      <c r="H1417" s="186">
        <v>877189</v>
      </c>
      <c r="I1417" s="187" t="s">
        <v>1</v>
      </c>
      <c r="J1417" s="2" t="s">
        <v>188</v>
      </c>
    </row>
    <row r="1418" spans="1:9" s="2" customFormat="1" ht="15">
      <c r="A1418" s="188"/>
      <c r="B1418" s="189"/>
      <c r="C1418" s="189"/>
      <c r="D1418" s="190"/>
      <c r="E1418" s="190"/>
      <c r="F1418" s="190"/>
      <c r="G1418" s="195" t="s">
        <v>1666</v>
      </c>
      <c r="H1418" s="191">
        <f>SUM(H1417)</f>
        <v>877189</v>
      </c>
      <c r="I1418" s="187"/>
    </row>
    <row r="1419" spans="1:9" s="2" customFormat="1" ht="15">
      <c r="A1419" s="188"/>
      <c r="B1419" s="189"/>
      <c r="C1419" s="189"/>
      <c r="D1419" s="190"/>
      <c r="E1419" s="190"/>
      <c r="F1419" s="190"/>
      <c r="G1419" s="195"/>
      <c r="H1419" s="191"/>
      <c r="I1419" s="187"/>
    </row>
    <row r="1420" spans="1:9" s="2" customFormat="1" ht="15">
      <c r="A1420" s="188"/>
      <c r="B1420" s="189"/>
      <c r="C1420" s="189"/>
      <c r="D1420" s="190"/>
      <c r="E1420" s="190"/>
      <c r="F1420" s="190"/>
      <c r="G1420" s="195" t="s">
        <v>1009</v>
      </c>
      <c r="H1420" s="278">
        <f>H1412+H1415+H1418</f>
        <v>-394731</v>
      </c>
      <c r="I1420" s="187"/>
    </row>
    <row r="1421" spans="1:9" s="199" customFormat="1" ht="15" hidden="1" outlineLevel="1">
      <c r="A1421" s="217"/>
      <c r="B1421" s="240"/>
      <c r="C1421" s="240"/>
      <c r="D1421" s="226"/>
      <c r="E1421" s="226"/>
      <c r="F1421" s="226"/>
      <c r="G1421" s="242"/>
      <c r="H1421" s="237"/>
      <c r="I1421" s="230"/>
    </row>
    <row r="1422" spans="1:10" s="199" customFormat="1" ht="15" hidden="1" outlineLevel="1">
      <c r="A1422" s="212">
        <v>42370</v>
      </c>
      <c r="B1422" s="213" t="s">
        <v>364</v>
      </c>
      <c r="C1422" s="213" t="s">
        <v>293</v>
      </c>
      <c r="D1422" s="215" t="s">
        <v>366</v>
      </c>
      <c r="E1422" s="215"/>
      <c r="F1422" s="215"/>
      <c r="G1422" s="222"/>
      <c r="H1422" s="239">
        <v>0</v>
      </c>
      <c r="I1422" s="230"/>
      <c r="J1422" s="199" t="s">
        <v>192</v>
      </c>
    </row>
    <row r="1423" spans="1:9" s="199" customFormat="1" ht="15" hidden="1" outlineLevel="1">
      <c r="A1423" s="217"/>
      <c r="B1423" s="240"/>
      <c r="C1423" s="240"/>
      <c r="D1423" s="226"/>
      <c r="E1423" s="226"/>
      <c r="F1423" s="226"/>
      <c r="G1423" s="242" t="s">
        <v>365</v>
      </c>
      <c r="H1423" s="237">
        <f>SUM(H1422)</f>
        <v>0</v>
      </c>
      <c r="I1423" s="230"/>
    </row>
    <row r="1424" spans="1:9" s="199" customFormat="1" ht="15" hidden="1" outlineLevel="1">
      <c r="A1424" s="217"/>
      <c r="B1424" s="240"/>
      <c r="C1424" s="240"/>
      <c r="D1424" s="226"/>
      <c r="E1424" s="226"/>
      <c r="F1424" s="226"/>
      <c r="G1424" s="242"/>
      <c r="H1424" s="237"/>
      <c r="I1424" s="230"/>
    </row>
    <row r="1425" spans="1:10" s="199" customFormat="1" ht="15" hidden="1" outlineLevel="1">
      <c r="A1425" s="212">
        <v>42370</v>
      </c>
      <c r="B1425" s="213" t="s">
        <v>364</v>
      </c>
      <c r="C1425" s="213" t="s">
        <v>1052</v>
      </c>
      <c r="D1425" s="215" t="s">
        <v>1064</v>
      </c>
      <c r="E1425" s="215"/>
      <c r="F1425" s="215"/>
      <c r="G1425" s="222"/>
      <c r="H1425" s="239">
        <v>0</v>
      </c>
      <c r="I1425" s="230"/>
      <c r="J1425" s="199" t="s">
        <v>192</v>
      </c>
    </row>
    <row r="1426" spans="1:9" s="199" customFormat="1" ht="15" hidden="1" outlineLevel="1">
      <c r="A1426" s="217"/>
      <c r="B1426" s="240"/>
      <c r="C1426" s="240"/>
      <c r="D1426" s="226"/>
      <c r="E1426" s="226"/>
      <c r="F1426" s="226"/>
      <c r="G1426" s="242" t="s">
        <v>1065</v>
      </c>
      <c r="H1426" s="237">
        <f>SUM(H1425)</f>
        <v>0</v>
      </c>
      <c r="I1426" s="230"/>
    </row>
    <row r="1427" spans="1:9" s="199" customFormat="1" ht="15" hidden="1" outlineLevel="1">
      <c r="A1427" s="217"/>
      <c r="B1427" s="240"/>
      <c r="C1427" s="240"/>
      <c r="D1427" s="226"/>
      <c r="E1427" s="226"/>
      <c r="F1427" s="226"/>
      <c r="G1427" s="242"/>
      <c r="H1427" s="237"/>
      <c r="I1427" s="230"/>
    </row>
    <row r="1428" spans="1:10" s="199" customFormat="1" ht="15" hidden="1" outlineLevel="1">
      <c r="A1428" s="212">
        <v>42370</v>
      </c>
      <c r="B1428" s="213" t="s">
        <v>364</v>
      </c>
      <c r="C1428" s="213" t="s">
        <v>399</v>
      </c>
      <c r="D1428" s="215" t="s">
        <v>412</v>
      </c>
      <c r="E1428" s="215"/>
      <c r="F1428" s="215"/>
      <c r="G1428" s="222"/>
      <c r="H1428" s="239">
        <v>0</v>
      </c>
      <c r="I1428" s="230"/>
      <c r="J1428" s="199" t="s">
        <v>192</v>
      </c>
    </row>
    <row r="1429" spans="1:9" s="199" customFormat="1" ht="15" hidden="1" outlineLevel="1">
      <c r="A1429" s="217"/>
      <c r="B1429" s="240"/>
      <c r="C1429" s="240"/>
      <c r="D1429" s="226"/>
      <c r="E1429" s="226"/>
      <c r="F1429" s="226"/>
      <c r="G1429" s="242" t="s">
        <v>437</v>
      </c>
      <c r="H1429" s="237">
        <f>SUM(H1428)</f>
        <v>0</v>
      </c>
      <c r="I1429" s="230"/>
    </row>
    <row r="1430" spans="1:9" s="199" customFormat="1" ht="15" hidden="1" outlineLevel="1">
      <c r="A1430" s="217"/>
      <c r="B1430" s="240"/>
      <c r="C1430" s="240"/>
      <c r="D1430" s="226"/>
      <c r="E1430" s="226"/>
      <c r="F1430" s="226"/>
      <c r="G1430" s="242"/>
      <c r="H1430" s="237"/>
      <c r="I1430" s="230"/>
    </row>
    <row r="1431" spans="1:9" s="199" customFormat="1" ht="15" hidden="1" outlineLevel="1">
      <c r="A1431" s="217"/>
      <c r="B1431" s="240"/>
      <c r="C1431" s="240"/>
      <c r="D1431" s="226"/>
      <c r="E1431" s="226"/>
      <c r="F1431" s="226"/>
      <c r="G1431" s="242" t="s">
        <v>413</v>
      </c>
      <c r="H1431" s="254">
        <f>H1423+H1426+H1429</f>
        <v>0</v>
      </c>
      <c r="I1431" s="230"/>
    </row>
    <row r="1432" spans="1:9" s="2" customFormat="1" ht="15" collapsed="1">
      <c r="A1432" s="188"/>
      <c r="B1432" s="189"/>
      <c r="C1432" s="189"/>
      <c r="D1432" s="190"/>
      <c r="E1432" s="190"/>
      <c r="F1432" s="190"/>
      <c r="G1432" s="195"/>
      <c r="H1432" s="191"/>
      <c r="I1432" s="187"/>
    </row>
    <row r="1433" spans="1:10" s="2" customFormat="1" ht="15">
      <c r="A1433" s="182">
        <v>42736</v>
      </c>
      <c r="B1433" s="183" t="s">
        <v>367</v>
      </c>
      <c r="C1433" s="183" t="s">
        <v>279</v>
      </c>
      <c r="D1433" s="184" t="s">
        <v>1667</v>
      </c>
      <c r="E1433" s="184"/>
      <c r="F1433" s="184"/>
      <c r="G1433" s="185"/>
      <c r="H1433" s="186">
        <v>-1231116</v>
      </c>
      <c r="I1433" s="187"/>
      <c r="J1433" s="2" t="s">
        <v>192</v>
      </c>
    </row>
    <row r="1434" spans="1:9" s="2" customFormat="1" ht="15">
      <c r="A1434" s="188"/>
      <c r="B1434" s="189"/>
      <c r="C1434" s="189"/>
      <c r="D1434" s="190"/>
      <c r="E1434" s="190"/>
      <c r="F1434" s="190"/>
      <c r="G1434" s="195" t="s">
        <v>368</v>
      </c>
      <c r="H1434" s="191">
        <f>SUM(H1433)</f>
        <v>-1231116</v>
      </c>
      <c r="I1434" s="187"/>
    </row>
    <row r="1435" spans="1:9" s="199" customFormat="1" ht="15" hidden="1" outlineLevel="1">
      <c r="A1435" s="217"/>
      <c r="B1435" s="240"/>
      <c r="C1435" s="240"/>
      <c r="D1435" s="226"/>
      <c r="E1435" s="226"/>
      <c r="F1435" s="226"/>
      <c r="G1435" s="242"/>
      <c r="H1435" s="237"/>
      <c r="I1435" s="230"/>
    </row>
    <row r="1436" spans="1:10" s="199" customFormat="1" ht="15" hidden="1" outlineLevel="1">
      <c r="A1436" s="212">
        <v>42658</v>
      </c>
      <c r="B1436" s="213" t="s">
        <v>367</v>
      </c>
      <c r="C1436" s="213" t="s">
        <v>874</v>
      </c>
      <c r="D1436" s="215" t="s">
        <v>864</v>
      </c>
      <c r="E1436" s="215"/>
      <c r="F1436" s="215"/>
      <c r="G1436" s="222"/>
      <c r="H1436" s="239">
        <v>0</v>
      </c>
      <c r="I1436" s="230"/>
      <c r="J1436" s="199" t="s">
        <v>1358</v>
      </c>
    </row>
    <row r="1437" spans="1:9" s="199" customFormat="1" ht="15" hidden="1" outlineLevel="1">
      <c r="A1437" s="217"/>
      <c r="B1437" s="240"/>
      <c r="C1437" s="240"/>
      <c r="D1437" s="226"/>
      <c r="E1437" s="226"/>
      <c r="F1437" s="226"/>
      <c r="G1437" s="242" t="s">
        <v>1387</v>
      </c>
      <c r="H1437" s="237">
        <f>SUM(H1436)</f>
        <v>0</v>
      </c>
      <c r="I1437" s="230"/>
    </row>
    <row r="1438" spans="1:9" s="199" customFormat="1" ht="15" hidden="1" outlineLevel="1">
      <c r="A1438" s="217"/>
      <c r="B1438" s="240"/>
      <c r="C1438" s="240"/>
      <c r="D1438" s="226"/>
      <c r="E1438" s="226"/>
      <c r="F1438" s="226"/>
      <c r="G1438" s="242"/>
      <c r="H1438" s="237"/>
      <c r="I1438" s="230"/>
    </row>
    <row r="1439" spans="1:10" s="199" customFormat="1" ht="15" hidden="1" outlineLevel="1">
      <c r="A1439" s="217">
        <v>42658</v>
      </c>
      <c r="B1439" s="240" t="s">
        <v>367</v>
      </c>
      <c r="C1439" s="240" t="s">
        <v>821</v>
      </c>
      <c r="D1439" s="226" t="s">
        <v>864</v>
      </c>
      <c r="E1439" s="226"/>
      <c r="F1439" s="226"/>
      <c r="G1439" s="242"/>
      <c r="H1439" s="237">
        <v>0</v>
      </c>
      <c r="I1439" s="230"/>
      <c r="J1439" s="199" t="s">
        <v>1358</v>
      </c>
    </row>
    <row r="1440" spans="1:10" s="199" customFormat="1" ht="15" hidden="1" outlineLevel="1">
      <c r="A1440" s="212">
        <v>42346</v>
      </c>
      <c r="B1440" s="213" t="s">
        <v>367</v>
      </c>
      <c r="C1440" s="213" t="s">
        <v>825</v>
      </c>
      <c r="D1440" s="215" t="s">
        <v>865</v>
      </c>
      <c r="E1440" s="215"/>
      <c r="F1440" s="215"/>
      <c r="G1440" s="222"/>
      <c r="H1440" s="239">
        <v>0</v>
      </c>
      <c r="I1440" s="230"/>
      <c r="J1440" s="199" t="s">
        <v>824</v>
      </c>
    </row>
    <row r="1441" spans="1:9" s="199" customFormat="1" ht="15" hidden="1" outlineLevel="1">
      <c r="A1441" s="217"/>
      <c r="B1441" s="240"/>
      <c r="C1441" s="240"/>
      <c r="D1441" s="226"/>
      <c r="E1441" s="226"/>
      <c r="F1441" s="226"/>
      <c r="G1441" s="242" t="s">
        <v>705</v>
      </c>
      <c r="H1441" s="237">
        <f>SUM(H1439:H1440)</f>
        <v>0</v>
      </c>
      <c r="I1441" s="230"/>
    </row>
    <row r="1442" spans="1:9" s="2" customFormat="1" ht="15" collapsed="1">
      <c r="A1442" s="188"/>
      <c r="B1442" s="189"/>
      <c r="C1442" s="189"/>
      <c r="D1442" s="190"/>
      <c r="E1442" s="190"/>
      <c r="F1442" s="190"/>
      <c r="G1442" s="195"/>
      <c r="H1442" s="191"/>
      <c r="I1442" s="187"/>
    </row>
    <row r="1443" spans="1:10" s="2" customFormat="1" ht="15">
      <c r="A1443" s="182">
        <v>42736</v>
      </c>
      <c r="B1443" s="183" t="s">
        <v>367</v>
      </c>
      <c r="C1443" s="183" t="s">
        <v>402</v>
      </c>
      <c r="D1443" s="184" t="s">
        <v>1668</v>
      </c>
      <c r="E1443" s="184"/>
      <c r="F1443" s="184"/>
      <c r="G1443" s="185"/>
      <c r="H1443" s="186">
        <v>450408</v>
      </c>
      <c r="I1443" s="187"/>
      <c r="J1443" s="2" t="s">
        <v>184</v>
      </c>
    </row>
    <row r="1444" spans="1:9" s="2" customFormat="1" ht="15">
      <c r="A1444" s="188"/>
      <c r="B1444" s="189"/>
      <c r="C1444" s="189"/>
      <c r="D1444" s="190"/>
      <c r="E1444" s="190"/>
      <c r="F1444" s="190"/>
      <c r="G1444" s="195" t="s">
        <v>1669</v>
      </c>
      <c r="H1444" s="191">
        <f>SUM(H1443)</f>
        <v>450408</v>
      </c>
      <c r="I1444" s="187"/>
    </row>
    <row r="1445" spans="1:9" s="2" customFormat="1" ht="15">
      <c r="A1445" s="188"/>
      <c r="B1445" s="189"/>
      <c r="C1445" s="189"/>
      <c r="D1445" s="190"/>
      <c r="E1445" s="190"/>
      <c r="F1445" s="190"/>
      <c r="G1445" s="195"/>
      <c r="H1445" s="191"/>
      <c r="I1445" s="187"/>
    </row>
    <row r="1446" spans="1:9" s="2" customFormat="1" ht="15">
      <c r="A1446" s="188"/>
      <c r="B1446" s="189"/>
      <c r="C1446" s="189"/>
      <c r="D1446" s="190"/>
      <c r="E1446" s="190"/>
      <c r="F1446" s="190"/>
      <c r="G1446" s="195" t="s">
        <v>706</v>
      </c>
      <c r="H1446" s="191">
        <f>H1434+H1437+H1441+H1444</f>
        <v>-780708</v>
      </c>
      <c r="I1446" s="187"/>
    </row>
    <row r="1447" spans="1:9" s="2" customFormat="1" ht="15" hidden="1" outlineLevel="1">
      <c r="A1447" s="188"/>
      <c r="B1447" s="189"/>
      <c r="C1447" s="189"/>
      <c r="D1447" s="190"/>
      <c r="E1447" s="190"/>
      <c r="F1447" s="190"/>
      <c r="G1447" s="195"/>
      <c r="H1447" s="191"/>
      <c r="I1447" s="187"/>
    </row>
    <row r="1448" spans="1:10" s="199" customFormat="1" ht="15" hidden="1" outlineLevel="1">
      <c r="A1448" s="212">
        <v>42370</v>
      </c>
      <c r="B1448" s="213" t="s">
        <v>369</v>
      </c>
      <c r="C1448" s="213" t="s">
        <v>293</v>
      </c>
      <c r="D1448" s="215" t="s">
        <v>370</v>
      </c>
      <c r="E1448" s="215"/>
      <c r="F1448" s="215"/>
      <c r="G1448" s="222"/>
      <c r="H1448" s="239">
        <v>0</v>
      </c>
      <c r="I1448" s="230"/>
      <c r="J1448" s="199" t="s">
        <v>192</v>
      </c>
    </row>
    <row r="1449" spans="1:9" s="199" customFormat="1" ht="15" hidden="1" outlineLevel="1">
      <c r="A1449" s="217"/>
      <c r="B1449" s="240"/>
      <c r="C1449" s="240"/>
      <c r="D1449" s="226"/>
      <c r="E1449" s="226"/>
      <c r="F1449" s="226"/>
      <c r="G1449" s="242" t="s">
        <v>371</v>
      </c>
      <c r="H1449" s="237">
        <f>SUM(H1448)</f>
        <v>0</v>
      </c>
      <c r="I1449" s="230"/>
    </row>
    <row r="1450" spans="1:9" s="199" customFormat="1" ht="15" hidden="1" outlineLevel="1">
      <c r="A1450" s="217"/>
      <c r="B1450" s="240"/>
      <c r="C1450" s="240"/>
      <c r="D1450" s="226"/>
      <c r="E1450" s="226"/>
      <c r="F1450" s="226"/>
      <c r="G1450" s="242"/>
      <c r="H1450" s="237"/>
      <c r="I1450" s="230"/>
    </row>
    <row r="1451" spans="1:10" s="199" customFormat="1" ht="15" hidden="1" outlineLevel="1">
      <c r="A1451" s="212">
        <v>42658</v>
      </c>
      <c r="B1451" s="213" t="s">
        <v>369</v>
      </c>
      <c r="C1451" s="213" t="s">
        <v>874</v>
      </c>
      <c r="D1451" s="215" t="s">
        <v>1389</v>
      </c>
      <c r="E1451" s="215"/>
      <c r="F1451" s="215"/>
      <c r="G1451" s="222"/>
      <c r="H1451" s="239">
        <v>0</v>
      </c>
      <c r="I1451" s="230"/>
      <c r="J1451" s="199" t="s">
        <v>1358</v>
      </c>
    </row>
    <row r="1452" spans="1:9" s="199" customFormat="1" ht="15" hidden="1" outlineLevel="1">
      <c r="A1452" s="217"/>
      <c r="B1452" s="240"/>
      <c r="C1452" s="240"/>
      <c r="D1452" s="226"/>
      <c r="E1452" s="226"/>
      <c r="F1452" s="226"/>
      <c r="G1452" s="242" t="s">
        <v>1390</v>
      </c>
      <c r="H1452" s="237">
        <f>SUM(H1451)</f>
        <v>0</v>
      </c>
      <c r="I1452" s="230"/>
    </row>
    <row r="1453" spans="1:9" s="199" customFormat="1" ht="15" hidden="1" outlineLevel="1">
      <c r="A1453" s="217"/>
      <c r="B1453" s="240"/>
      <c r="C1453" s="240"/>
      <c r="D1453" s="226"/>
      <c r="E1453" s="226"/>
      <c r="F1453" s="226"/>
      <c r="G1453" s="242"/>
      <c r="H1453" s="237"/>
      <c r="I1453" s="230"/>
    </row>
    <row r="1454" spans="1:10" s="199" customFormat="1" ht="15" hidden="1" outlineLevel="1">
      <c r="A1454" s="217">
        <v>42658</v>
      </c>
      <c r="B1454" s="240" t="s">
        <v>369</v>
      </c>
      <c r="C1454" s="240" t="s">
        <v>821</v>
      </c>
      <c r="D1454" s="226" t="s">
        <v>866</v>
      </c>
      <c r="E1454" s="226"/>
      <c r="F1454" s="226"/>
      <c r="G1454" s="242"/>
      <c r="H1454" s="237">
        <v>0</v>
      </c>
      <c r="I1454" s="230"/>
      <c r="J1454" s="199" t="s">
        <v>824</v>
      </c>
    </row>
    <row r="1455" spans="1:10" s="199" customFormat="1" ht="15" hidden="1" outlineLevel="1">
      <c r="A1455" s="212">
        <v>42346</v>
      </c>
      <c r="B1455" s="213" t="s">
        <v>369</v>
      </c>
      <c r="C1455" s="213" t="s">
        <v>825</v>
      </c>
      <c r="D1455" s="215" t="s">
        <v>867</v>
      </c>
      <c r="E1455" s="215"/>
      <c r="F1455" s="215"/>
      <c r="G1455" s="222"/>
      <c r="H1455" s="239">
        <v>0</v>
      </c>
      <c r="I1455" s="230"/>
      <c r="J1455" s="199" t="s">
        <v>824</v>
      </c>
    </row>
    <row r="1456" spans="1:9" s="199" customFormat="1" ht="15" hidden="1" outlineLevel="1">
      <c r="A1456" s="217"/>
      <c r="B1456" s="240"/>
      <c r="C1456" s="240"/>
      <c r="D1456" s="226"/>
      <c r="E1456" s="226"/>
      <c r="F1456" s="226"/>
      <c r="G1456" s="242" t="s">
        <v>868</v>
      </c>
      <c r="H1456" s="237">
        <f>SUM(H1454:H1455)</f>
        <v>0</v>
      </c>
      <c r="I1456" s="230"/>
    </row>
    <row r="1457" spans="1:9" s="199" customFormat="1" ht="15" hidden="1" outlineLevel="1">
      <c r="A1457" s="217"/>
      <c r="B1457" s="240"/>
      <c r="C1457" s="240"/>
      <c r="D1457" s="226"/>
      <c r="E1457" s="226"/>
      <c r="F1457" s="226"/>
      <c r="G1457" s="242"/>
      <c r="H1457" s="237"/>
      <c r="I1457" s="230"/>
    </row>
    <row r="1458" spans="1:9" s="199" customFormat="1" ht="15" hidden="1" outlineLevel="1">
      <c r="A1458" s="217"/>
      <c r="B1458" s="240"/>
      <c r="C1458" s="240"/>
      <c r="D1458" s="226"/>
      <c r="E1458" s="226"/>
      <c r="F1458" s="226"/>
      <c r="G1458" s="242" t="s">
        <v>686</v>
      </c>
      <c r="H1458" s="237">
        <f>H1449+H1452+H1456</f>
        <v>0</v>
      </c>
      <c r="I1458" s="230"/>
    </row>
    <row r="1459" spans="1:9" s="199" customFormat="1" ht="15" hidden="1" outlineLevel="1">
      <c r="A1459" s="217"/>
      <c r="B1459" s="240"/>
      <c r="C1459" s="240"/>
      <c r="D1459" s="226"/>
      <c r="E1459" s="226"/>
      <c r="F1459" s="226"/>
      <c r="G1459" s="242"/>
      <c r="H1459" s="237"/>
      <c r="I1459" s="230"/>
    </row>
    <row r="1460" spans="1:10" s="199" customFormat="1" ht="15" hidden="1" outlineLevel="1">
      <c r="A1460" s="212">
        <v>42370</v>
      </c>
      <c r="B1460" s="213" t="s">
        <v>869</v>
      </c>
      <c r="C1460" s="213" t="s">
        <v>293</v>
      </c>
      <c r="D1460" s="215" t="s">
        <v>1117</v>
      </c>
      <c r="E1460" s="215"/>
      <c r="F1460" s="215"/>
      <c r="G1460" s="222"/>
      <c r="H1460" s="239">
        <v>0</v>
      </c>
      <c r="I1460" s="230"/>
      <c r="J1460" s="199" t="s">
        <v>192</v>
      </c>
    </row>
    <row r="1461" spans="1:9" s="199" customFormat="1" ht="15" hidden="1" outlineLevel="1">
      <c r="A1461" s="217"/>
      <c r="B1461" s="240"/>
      <c r="C1461" s="240"/>
      <c r="D1461" s="226"/>
      <c r="E1461" s="226"/>
      <c r="F1461" s="226"/>
      <c r="G1461" s="242" t="s">
        <v>1118</v>
      </c>
      <c r="H1461" s="237">
        <f>SUM(H1460)</f>
        <v>0</v>
      </c>
      <c r="I1461" s="230"/>
    </row>
    <row r="1462" spans="1:9" s="199" customFormat="1" ht="15" hidden="1" outlineLevel="1">
      <c r="A1462" s="217"/>
      <c r="B1462" s="240"/>
      <c r="C1462" s="240"/>
      <c r="D1462" s="226"/>
      <c r="E1462" s="226"/>
      <c r="F1462" s="226"/>
      <c r="G1462" s="242"/>
      <c r="H1462" s="237"/>
      <c r="I1462" s="230"/>
    </row>
    <row r="1463" spans="1:10" s="199" customFormat="1" ht="15" hidden="1" outlineLevel="1">
      <c r="A1463" s="212">
        <v>42658</v>
      </c>
      <c r="B1463" s="213" t="s">
        <v>869</v>
      </c>
      <c r="C1463" s="213" t="s">
        <v>874</v>
      </c>
      <c r="D1463" s="215" t="s">
        <v>1391</v>
      </c>
      <c r="E1463" s="215"/>
      <c r="F1463" s="215"/>
      <c r="G1463" s="222"/>
      <c r="H1463" s="239">
        <v>0</v>
      </c>
      <c r="I1463" s="230"/>
      <c r="J1463" s="199" t="s">
        <v>192</v>
      </c>
    </row>
    <row r="1464" spans="1:9" s="199" customFormat="1" ht="15" hidden="1" outlineLevel="1">
      <c r="A1464" s="217"/>
      <c r="B1464" s="240"/>
      <c r="C1464" s="240"/>
      <c r="D1464" s="226"/>
      <c r="E1464" s="226"/>
      <c r="F1464" s="226"/>
      <c r="G1464" s="242" t="s">
        <v>1392</v>
      </c>
      <c r="H1464" s="237">
        <f>SUM(H1463)</f>
        <v>0</v>
      </c>
      <c r="I1464" s="230"/>
    </row>
    <row r="1465" spans="1:9" s="2" customFormat="1" ht="15" collapsed="1">
      <c r="A1465" s="188"/>
      <c r="B1465" s="189"/>
      <c r="C1465" s="189"/>
      <c r="D1465" s="190"/>
      <c r="E1465" s="190"/>
      <c r="F1465" s="190"/>
      <c r="G1465" s="195"/>
      <c r="H1465" s="191"/>
      <c r="I1465" s="187"/>
    </row>
    <row r="1466" spans="1:10" s="2" customFormat="1" ht="15">
      <c r="A1466" s="188">
        <v>42736</v>
      </c>
      <c r="B1466" s="189" t="s">
        <v>869</v>
      </c>
      <c r="C1466" s="189" t="s">
        <v>1648</v>
      </c>
      <c r="D1466" s="190" t="s">
        <v>1671</v>
      </c>
      <c r="E1466" s="190"/>
      <c r="F1466" s="190"/>
      <c r="G1466" s="195"/>
      <c r="H1466" s="191">
        <v>-197000</v>
      </c>
      <c r="I1466" s="187"/>
      <c r="J1466" s="2" t="s">
        <v>192</v>
      </c>
    </row>
    <row r="1467" spans="1:10" s="2" customFormat="1" ht="15">
      <c r="A1467" s="182">
        <v>42736</v>
      </c>
      <c r="B1467" s="183" t="s">
        <v>869</v>
      </c>
      <c r="C1467" s="183" t="s">
        <v>1052</v>
      </c>
      <c r="D1467" s="184" t="s">
        <v>1670</v>
      </c>
      <c r="E1467" s="184"/>
      <c r="F1467" s="184"/>
      <c r="G1467" s="185"/>
      <c r="H1467" s="186">
        <v>-135000</v>
      </c>
      <c r="I1467" s="187"/>
      <c r="J1467" s="2" t="s">
        <v>192</v>
      </c>
    </row>
    <row r="1468" spans="1:9" s="2" customFormat="1" ht="15">
      <c r="A1468" s="188"/>
      <c r="B1468" s="189"/>
      <c r="C1468" s="189"/>
      <c r="D1468" s="190"/>
      <c r="E1468" s="190"/>
      <c r="F1468" s="190"/>
      <c r="G1468" s="195" t="s">
        <v>870</v>
      </c>
      <c r="H1468" s="191">
        <f>SUM(H1466:H1467)</f>
        <v>-332000</v>
      </c>
      <c r="I1468" s="187"/>
    </row>
    <row r="1469" spans="1:9" s="2" customFormat="1" ht="15">
      <c r="A1469" s="188"/>
      <c r="B1469" s="189"/>
      <c r="C1469" s="189"/>
      <c r="D1469" s="190"/>
      <c r="E1469" s="190"/>
      <c r="F1469" s="190"/>
      <c r="G1469" s="195"/>
      <c r="H1469" s="191"/>
      <c r="I1469" s="187"/>
    </row>
    <row r="1470" spans="1:9" s="2" customFormat="1" ht="15">
      <c r="A1470" s="188"/>
      <c r="B1470" s="189"/>
      <c r="C1470" s="189"/>
      <c r="D1470" s="190"/>
      <c r="E1470" s="190"/>
      <c r="F1470" s="190"/>
      <c r="G1470" s="195" t="s">
        <v>756</v>
      </c>
      <c r="H1470" s="191">
        <f>H1461+H1464+H1468</f>
        <v>-332000</v>
      </c>
      <c r="I1470" s="187"/>
    </row>
    <row r="1471" spans="1:9" s="199" customFormat="1" ht="15" hidden="1" outlineLevel="1">
      <c r="A1471" s="217"/>
      <c r="B1471" s="240"/>
      <c r="C1471" s="240"/>
      <c r="D1471" s="226"/>
      <c r="E1471" s="226"/>
      <c r="F1471" s="226"/>
      <c r="G1471" s="242"/>
      <c r="H1471" s="237"/>
      <c r="I1471" s="230"/>
    </row>
    <row r="1472" spans="1:10" s="199" customFormat="1" ht="15" hidden="1" outlineLevel="1">
      <c r="A1472" s="217">
        <v>42370</v>
      </c>
      <c r="B1472" s="240" t="s">
        <v>372</v>
      </c>
      <c r="C1472" s="240" t="s">
        <v>293</v>
      </c>
      <c r="D1472" s="226" t="s">
        <v>373</v>
      </c>
      <c r="E1472" s="226"/>
      <c r="F1472" s="226"/>
      <c r="G1472" s="242"/>
      <c r="H1472" s="237">
        <v>0</v>
      </c>
      <c r="I1472" s="230"/>
      <c r="J1472" s="199" t="s">
        <v>192</v>
      </c>
    </row>
    <row r="1473" spans="1:10" s="199" customFormat="1" ht="15" hidden="1" outlineLevel="1">
      <c r="A1473" s="212">
        <v>42370</v>
      </c>
      <c r="B1473" s="213" t="s">
        <v>372</v>
      </c>
      <c r="C1473" s="213" t="s">
        <v>279</v>
      </c>
      <c r="D1473" s="215" t="s">
        <v>374</v>
      </c>
      <c r="E1473" s="215"/>
      <c r="F1473" s="215"/>
      <c r="G1473" s="222"/>
      <c r="H1473" s="239">
        <v>0</v>
      </c>
      <c r="I1473" s="230"/>
      <c r="J1473" s="199" t="s">
        <v>192</v>
      </c>
    </row>
    <row r="1474" spans="1:9" s="199" customFormat="1" ht="15" hidden="1" outlineLevel="1">
      <c r="A1474" s="217"/>
      <c r="B1474" s="240"/>
      <c r="C1474" s="240"/>
      <c r="D1474" s="226"/>
      <c r="E1474" s="226"/>
      <c r="F1474" s="226"/>
      <c r="G1474" s="242" t="s">
        <v>378</v>
      </c>
      <c r="H1474" s="237">
        <f>SUM(H1472:H1473)</f>
        <v>0</v>
      </c>
      <c r="I1474" s="230"/>
    </row>
    <row r="1475" spans="1:9" s="199" customFormat="1" ht="15" hidden="1" outlineLevel="1">
      <c r="A1475" s="217"/>
      <c r="B1475" s="240"/>
      <c r="C1475" s="240"/>
      <c r="D1475" s="226"/>
      <c r="E1475" s="226"/>
      <c r="F1475" s="226"/>
      <c r="G1475" s="242"/>
      <c r="H1475" s="237"/>
      <c r="I1475" s="230"/>
    </row>
    <row r="1476" spans="1:10" s="199" customFormat="1" ht="15" hidden="1" outlineLevel="1">
      <c r="A1476" s="212">
        <v>42658</v>
      </c>
      <c r="B1476" s="213" t="s">
        <v>372</v>
      </c>
      <c r="C1476" s="213" t="s">
        <v>874</v>
      </c>
      <c r="D1476" s="215" t="s">
        <v>871</v>
      </c>
      <c r="E1476" s="215"/>
      <c r="F1476" s="215"/>
      <c r="G1476" s="222"/>
      <c r="H1476" s="239">
        <v>0</v>
      </c>
      <c r="I1476" s="230"/>
      <c r="J1476" s="199" t="s">
        <v>1358</v>
      </c>
    </row>
    <row r="1477" spans="1:9" s="199" customFormat="1" ht="15" hidden="1" outlineLevel="1">
      <c r="A1477" s="217"/>
      <c r="B1477" s="240"/>
      <c r="C1477" s="240"/>
      <c r="D1477" s="226"/>
      <c r="E1477" s="226"/>
      <c r="F1477" s="226"/>
      <c r="G1477" s="242" t="s">
        <v>1388</v>
      </c>
      <c r="H1477" s="237">
        <f>SUM(H1475:H1476)</f>
        <v>0</v>
      </c>
      <c r="I1477" s="230"/>
    </row>
    <row r="1478" spans="1:9" s="199" customFormat="1" ht="15" hidden="1" outlineLevel="1">
      <c r="A1478" s="217"/>
      <c r="B1478" s="240"/>
      <c r="C1478" s="240"/>
      <c r="D1478" s="226"/>
      <c r="E1478" s="226"/>
      <c r="F1478" s="226"/>
      <c r="G1478" s="242"/>
      <c r="H1478" s="237"/>
      <c r="I1478" s="230"/>
    </row>
    <row r="1479" spans="1:10" s="199" customFormat="1" ht="15" hidden="1" outlineLevel="1">
      <c r="A1479" s="217">
        <v>42658</v>
      </c>
      <c r="B1479" s="240" t="s">
        <v>372</v>
      </c>
      <c r="C1479" s="240" t="s">
        <v>821</v>
      </c>
      <c r="D1479" s="226" t="s">
        <v>871</v>
      </c>
      <c r="E1479" s="226"/>
      <c r="F1479" s="226"/>
      <c r="G1479" s="242"/>
      <c r="H1479" s="237">
        <v>0</v>
      </c>
      <c r="I1479" s="230"/>
      <c r="J1479" s="199" t="s">
        <v>824</v>
      </c>
    </row>
    <row r="1480" spans="1:10" s="199" customFormat="1" ht="15" hidden="1" outlineLevel="1">
      <c r="A1480" s="212">
        <v>42346</v>
      </c>
      <c r="B1480" s="213" t="s">
        <v>372</v>
      </c>
      <c r="C1480" s="213" t="s">
        <v>825</v>
      </c>
      <c r="D1480" s="215" t="s">
        <v>872</v>
      </c>
      <c r="E1480" s="215"/>
      <c r="F1480" s="215"/>
      <c r="G1480" s="222"/>
      <c r="H1480" s="239">
        <v>0</v>
      </c>
      <c r="I1480" s="230"/>
      <c r="J1480" s="199" t="s">
        <v>824</v>
      </c>
    </row>
    <row r="1481" spans="1:9" s="199" customFormat="1" ht="15" hidden="1" outlineLevel="1">
      <c r="A1481" s="217"/>
      <c r="B1481" s="240"/>
      <c r="C1481" s="240"/>
      <c r="D1481" s="226"/>
      <c r="E1481" s="226"/>
      <c r="F1481" s="226"/>
      <c r="G1481" s="242" t="s">
        <v>722</v>
      </c>
      <c r="H1481" s="237">
        <f>SUM(H1479:H1480)</f>
        <v>0</v>
      </c>
      <c r="I1481" s="230"/>
    </row>
    <row r="1482" spans="1:9" s="199" customFormat="1" ht="15" hidden="1" outlineLevel="1">
      <c r="A1482" s="217"/>
      <c r="B1482" s="240"/>
      <c r="C1482" s="240"/>
      <c r="D1482" s="226"/>
      <c r="E1482" s="226"/>
      <c r="F1482" s="226"/>
      <c r="G1482" s="242"/>
      <c r="H1482" s="237"/>
      <c r="I1482" s="230"/>
    </row>
    <row r="1483" spans="1:10" s="199" customFormat="1" ht="15" hidden="1" outlineLevel="1">
      <c r="A1483" s="212">
        <v>42370</v>
      </c>
      <c r="B1483" s="213" t="s">
        <v>372</v>
      </c>
      <c r="C1483" s="213" t="s">
        <v>402</v>
      </c>
      <c r="D1483" s="215" t="s">
        <v>1049</v>
      </c>
      <c r="E1483" s="215"/>
      <c r="F1483" s="215"/>
      <c r="G1483" s="222"/>
      <c r="H1483" s="239">
        <v>0</v>
      </c>
      <c r="I1483" s="230"/>
      <c r="J1483" s="199" t="s">
        <v>824</v>
      </c>
    </row>
    <row r="1484" spans="1:9" s="199" customFormat="1" ht="15" hidden="1" outlineLevel="1">
      <c r="A1484" s="217"/>
      <c r="B1484" s="240"/>
      <c r="C1484" s="240"/>
      <c r="D1484" s="226"/>
      <c r="E1484" s="226"/>
      <c r="F1484" s="226"/>
      <c r="G1484" s="242" t="s">
        <v>1050</v>
      </c>
      <c r="H1484" s="237">
        <f>SUM(H1482:H1483)</f>
        <v>0</v>
      </c>
      <c r="I1484" s="230"/>
    </row>
    <row r="1485" spans="1:9" s="199" customFormat="1" ht="15" hidden="1" outlineLevel="1">
      <c r="A1485" s="217"/>
      <c r="B1485" s="240"/>
      <c r="C1485" s="240"/>
      <c r="D1485" s="226"/>
      <c r="E1485" s="226"/>
      <c r="F1485" s="226"/>
      <c r="G1485" s="242"/>
      <c r="H1485" s="237"/>
      <c r="I1485" s="230"/>
    </row>
    <row r="1486" spans="1:9" s="199" customFormat="1" ht="15" hidden="1" outlineLevel="1">
      <c r="A1486" s="217"/>
      <c r="B1486" s="240"/>
      <c r="C1486" s="240"/>
      <c r="D1486" s="226"/>
      <c r="E1486" s="226"/>
      <c r="F1486" s="226"/>
      <c r="G1486" s="242" t="s">
        <v>723</v>
      </c>
      <c r="H1486" s="237">
        <f>H1474+H1477+H1481+H1484</f>
        <v>0</v>
      </c>
      <c r="I1486" s="230"/>
    </row>
    <row r="1487" spans="1:9" s="199" customFormat="1" ht="15" hidden="1" outlineLevel="1">
      <c r="A1487" s="217"/>
      <c r="B1487" s="240"/>
      <c r="C1487" s="240"/>
      <c r="D1487" s="226"/>
      <c r="E1487" s="226"/>
      <c r="F1487" s="226"/>
      <c r="G1487" s="242"/>
      <c r="H1487" s="237"/>
      <c r="I1487" s="230"/>
    </row>
    <row r="1488" spans="1:9" s="2" customFormat="1" ht="15" collapsed="1">
      <c r="A1488" s="188"/>
      <c r="B1488" s="189"/>
      <c r="C1488" s="189"/>
      <c r="D1488" s="190"/>
      <c r="E1488" s="190"/>
      <c r="F1488" s="190"/>
      <c r="G1488" s="195"/>
      <c r="H1488" s="191"/>
      <c r="I1488" s="187"/>
    </row>
    <row r="1489" spans="1:10" s="199" customFormat="1" ht="15" hidden="1" outlineLevel="1">
      <c r="A1489" s="217">
        <v>42005</v>
      </c>
      <c r="B1489" s="240" t="s">
        <v>375</v>
      </c>
      <c r="C1489" s="240" t="s">
        <v>279</v>
      </c>
      <c r="D1489" s="226" t="s">
        <v>376</v>
      </c>
      <c r="E1489" s="226"/>
      <c r="F1489" s="226"/>
      <c r="G1489" s="242"/>
      <c r="H1489" s="237">
        <v>0</v>
      </c>
      <c r="I1489" s="230"/>
      <c r="J1489" s="199" t="s">
        <v>192</v>
      </c>
    </row>
    <row r="1490" spans="1:10" s="2" customFormat="1" ht="15" collapsed="1">
      <c r="A1490" s="182">
        <v>42736</v>
      </c>
      <c r="B1490" s="183" t="s">
        <v>375</v>
      </c>
      <c r="C1490" s="183" t="s">
        <v>279</v>
      </c>
      <c r="D1490" s="184" t="s">
        <v>377</v>
      </c>
      <c r="E1490" s="184"/>
      <c r="F1490" s="184"/>
      <c r="G1490" s="185"/>
      <c r="H1490" s="186">
        <v>410629</v>
      </c>
      <c r="I1490" s="187"/>
      <c r="J1490" s="2" t="s">
        <v>192</v>
      </c>
    </row>
    <row r="1491" spans="1:9" s="2" customFormat="1" ht="15">
      <c r="A1491" s="188"/>
      <c r="B1491" s="189"/>
      <c r="C1491" s="189"/>
      <c r="D1491" s="190"/>
      <c r="E1491" s="190"/>
      <c r="F1491" s="190"/>
      <c r="G1491" s="195" t="s">
        <v>379</v>
      </c>
      <c r="H1491" s="191">
        <f>SUM(H1489:H1490)</f>
        <v>410629</v>
      </c>
      <c r="I1491" s="187"/>
    </row>
    <row r="1492" spans="1:9" s="2" customFormat="1" ht="15">
      <c r="A1492" s="188"/>
      <c r="B1492" s="189"/>
      <c r="C1492" s="189"/>
      <c r="D1492" s="190"/>
      <c r="E1492" s="190"/>
      <c r="F1492" s="190"/>
      <c r="G1492" s="195"/>
      <c r="H1492" s="191"/>
      <c r="I1492" s="187"/>
    </row>
    <row r="1493" spans="1:10" s="2" customFormat="1" ht="15">
      <c r="A1493" s="182">
        <v>42736</v>
      </c>
      <c r="B1493" s="183" t="s">
        <v>375</v>
      </c>
      <c r="C1493" s="183" t="s">
        <v>414</v>
      </c>
      <c r="D1493" s="184" t="s">
        <v>415</v>
      </c>
      <c r="E1493" s="184"/>
      <c r="F1493" s="184"/>
      <c r="G1493" s="185"/>
      <c r="H1493" s="186">
        <v>286389</v>
      </c>
      <c r="I1493" s="187"/>
      <c r="J1493" s="2" t="s">
        <v>192</v>
      </c>
    </row>
    <row r="1494" spans="1:9" s="2" customFormat="1" ht="15">
      <c r="A1494" s="188"/>
      <c r="B1494" s="189"/>
      <c r="C1494" s="189"/>
      <c r="D1494" s="190"/>
      <c r="E1494" s="190"/>
      <c r="F1494" s="190"/>
      <c r="G1494" s="195" t="s">
        <v>417</v>
      </c>
      <c r="H1494" s="191">
        <f>SUM(H1493)</f>
        <v>286389</v>
      </c>
      <c r="I1494" s="187"/>
    </row>
    <row r="1495" spans="1:9" s="2" customFormat="1" ht="15">
      <c r="A1495" s="188"/>
      <c r="B1495" s="189"/>
      <c r="C1495" s="189"/>
      <c r="D1495" s="190"/>
      <c r="E1495" s="190"/>
      <c r="F1495" s="190"/>
      <c r="G1495" s="195"/>
      <c r="H1495" s="191"/>
      <c r="I1495" s="187"/>
    </row>
    <row r="1496" spans="1:9" s="2" customFormat="1" ht="15">
      <c r="A1496" s="188"/>
      <c r="B1496" s="189"/>
      <c r="C1496" s="189"/>
      <c r="D1496" s="190"/>
      <c r="E1496" s="190"/>
      <c r="F1496" s="190"/>
      <c r="G1496" s="195" t="s">
        <v>416</v>
      </c>
      <c r="H1496" s="278">
        <f>H1491+H1494</f>
        <v>697018</v>
      </c>
      <c r="I1496" s="187"/>
    </row>
    <row r="1497" spans="1:9" s="199" customFormat="1" ht="15" hidden="1" outlineLevel="1">
      <c r="A1497" s="217"/>
      <c r="B1497" s="240"/>
      <c r="C1497" s="240"/>
      <c r="D1497" s="226"/>
      <c r="E1497" s="226"/>
      <c r="F1497" s="226"/>
      <c r="G1497" s="242"/>
      <c r="H1497" s="237"/>
      <c r="I1497" s="230"/>
    </row>
    <row r="1498" spans="1:10" s="199" customFormat="1" ht="15" hidden="1" outlineLevel="1">
      <c r="A1498" s="212">
        <v>42370</v>
      </c>
      <c r="B1498" s="213" t="s">
        <v>380</v>
      </c>
      <c r="C1498" s="213" t="s">
        <v>279</v>
      </c>
      <c r="D1498" s="215" t="s">
        <v>381</v>
      </c>
      <c r="E1498" s="215"/>
      <c r="F1498" s="215"/>
      <c r="G1498" s="222"/>
      <c r="H1498" s="239">
        <v>0</v>
      </c>
      <c r="I1498" s="230"/>
      <c r="J1498" s="199" t="s">
        <v>192</v>
      </c>
    </row>
    <row r="1499" spans="1:9" s="199" customFormat="1" ht="15" hidden="1" outlineLevel="1">
      <c r="A1499" s="217"/>
      <c r="B1499" s="240"/>
      <c r="C1499" s="240"/>
      <c r="D1499" s="226"/>
      <c r="E1499" s="226"/>
      <c r="F1499" s="226"/>
      <c r="G1499" s="242" t="s">
        <v>382</v>
      </c>
      <c r="H1499" s="237">
        <f>SUM(H1498)</f>
        <v>0</v>
      </c>
      <c r="I1499" s="230"/>
    </row>
    <row r="1500" spans="1:9" s="199" customFormat="1" ht="15" hidden="1" outlineLevel="1">
      <c r="A1500" s="217"/>
      <c r="B1500" s="240"/>
      <c r="C1500" s="240"/>
      <c r="D1500" s="226"/>
      <c r="E1500" s="226"/>
      <c r="F1500" s="226"/>
      <c r="G1500" s="242"/>
      <c r="H1500" s="237"/>
      <c r="I1500" s="230"/>
    </row>
    <row r="1501" spans="1:10" s="199" customFormat="1" ht="15" hidden="1" outlineLevel="1">
      <c r="A1501" s="212">
        <v>42370</v>
      </c>
      <c r="B1501" s="213" t="s">
        <v>917</v>
      </c>
      <c r="C1501" s="213" t="s">
        <v>279</v>
      </c>
      <c r="D1501" s="215" t="s">
        <v>1119</v>
      </c>
      <c r="E1501" s="215"/>
      <c r="F1501" s="215"/>
      <c r="G1501" s="222"/>
      <c r="H1501" s="239">
        <v>0</v>
      </c>
      <c r="I1501" s="230"/>
      <c r="J1501" s="199" t="s">
        <v>192</v>
      </c>
    </row>
    <row r="1502" spans="1:9" s="199" customFormat="1" ht="15" hidden="1" outlineLevel="1">
      <c r="A1502" s="217"/>
      <c r="B1502" s="240"/>
      <c r="C1502" s="240"/>
      <c r="D1502" s="226"/>
      <c r="E1502" s="226"/>
      <c r="F1502" s="226"/>
      <c r="G1502" s="242" t="s">
        <v>1120</v>
      </c>
      <c r="H1502" s="237">
        <f>SUM(H1500:H1501)</f>
        <v>0</v>
      </c>
      <c r="I1502" s="230"/>
    </row>
    <row r="1503" spans="1:9" s="199" customFormat="1" ht="15" hidden="1" outlineLevel="1">
      <c r="A1503" s="217"/>
      <c r="B1503" s="240"/>
      <c r="C1503" s="240"/>
      <c r="D1503" s="226"/>
      <c r="E1503" s="226"/>
      <c r="F1503" s="226"/>
      <c r="G1503" s="242"/>
      <c r="H1503" s="237"/>
      <c r="I1503" s="230"/>
    </row>
    <row r="1504" spans="1:10" s="199" customFormat="1" ht="15" hidden="1" outlineLevel="1">
      <c r="A1504" s="212">
        <v>42005</v>
      </c>
      <c r="B1504" s="213" t="s">
        <v>917</v>
      </c>
      <c r="C1504" s="213" t="s">
        <v>78</v>
      </c>
      <c r="D1504" s="215" t="s">
        <v>918</v>
      </c>
      <c r="E1504" s="215"/>
      <c r="F1504" s="215"/>
      <c r="G1504" s="222"/>
      <c r="H1504" s="239">
        <v>0</v>
      </c>
      <c r="I1504" s="230" t="s">
        <v>920</v>
      </c>
      <c r="J1504" s="199" t="s">
        <v>921</v>
      </c>
    </row>
    <row r="1505" spans="1:9" s="199" customFormat="1" ht="15" hidden="1" outlineLevel="1">
      <c r="A1505" s="217"/>
      <c r="B1505" s="240"/>
      <c r="C1505" s="240"/>
      <c r="D1505" s="226"/>
      <c r="E1505" s="226"/>
      <c r="F1505" s="226"/>
      <c r="G1505" s="242" t="s">
        <v>919</v>
      </c>
      <c r="H1505" s="237">
        <f>SUM(H1504)</f>
        <v>0</v>
      </c>
      <c r="I1505" s="230"/>
    </row>
    <row r="1506" spans="1:9" s="199" customFormat="1" ht="15" hidden="1" outlineLevel="1">
      <c r="A1506" s="217"/>
      <c r="B1506" s="240"/>
      <c r="C1506" s="240"/>
      <c r="D1506" s="226"/>
      <c r="E1506" s="226"/>
      <c r="F1506" s="226"/>
      <c r="G1506" s="242"/>
      <c r="H1506" s="237"/>
      <c r="I1506" s="230"/>
    </row>
    <row r="1507" spans="1:10" s="199" customFormat="1" ht="15" hidden="1" outlineLevel="1">
      <c r="A1507" s="212">
        <v>42370</v>
      </c>
      <c r="B1507" s="213" t="s">
        <v>917</v>
      </c>
      <c r="C1507" s="213" t="s">
        <v>402</v>
      </c>
      <c r="D1507" s="215" t="s">
        <v>1046</v>
      </c>
      <c r="E1507" s="215"/>
      <c r="F1507" s="215"/>
      <c r="G1507" s="222"/>
      <c r="H1507" s="239">
        <v>0</v>
      </c>
      <c r="I1507" s="230"/>
      <c r="J1507" s="199" t="s">
        <v>192</v>
      </c>
    </row>
    <row r="1508" spans="1:9" s="199" customFormat="1" ht="15" hidden="1" outlineLevel="1">
      <c r="A1508" s="217"/>
      <c r="B1508" s="240"/>
      <c r="C1508" s="240"/>
      <c r="D1508" s="226"/>
      <c r="E1508" s="226"/>
      <c r="F1508" s="226"/>
      <c r="G1508" s="242" t="s">
        <v>1047</v>
      </c>
      <c r="H1508" s="237">
        <f>SUM(H1507)</f>
        <v>0</v>
      </c>
      <c r="I1508" s="230"/>
    </row>
    <row r="1509" spans="1:9" s="199" customFormat="1" ht="15" hidden="1" outlineLevel="1">
      <c r="A1509" s="217"/>
      <c r="B1509" s="240"/>
      <c r="C1509" s="240"/>
      <c r="D1509" s="226"/>
      <c r="E1509" s="226"/>
      <c r="F1509" s="226"/>
      <c r="G1509" s="242"/>
      <c r="H1509" s="237"/>
      <c r="I1509" s="230"/>
    </row>
    <row r="1510" spans="1:9" s="199" customFormat="1" ht="15" hidden="1" outlineLevel="1">
      <c r="A1510" s="217"/>
      <c r="B1510" s="240"/>
      <c r="C1510" s="240"/>
      <c r="D1510" s="226"/>
      <c r="E1510" s="226"/>
      <c r="F1510" s="226"/>
      <c r="G1510" s="242" t="s">
        <v>1048</v>
      </c>
      <c r="H1510" s="254">
        <f>H1502+H1505+H1508</f>
        <v>0</v>
      </c>
      <c r="I1510" s="230"/>
    </row>
    <row r="1511" spans="1:9" s="2" customFormat="1" ht="15" collapsed="1">
      <c r="A1511" s="188"/>
      <c r="B1511" s="189"/>
      <c r="C1511" s="189"/>
      <c r="D1511" s="190"/>
      <c r="E1511" s="190"/>
      <c r="F1511" s="190"/>
      <c r="G1511" s="195"/>
      <c r="H1511" s="191"/>
      <c r="I1511" s="187"/>
    </row>
    <row r="1512" spans="1:10" s="2" customFormat="1" ht="15">
      <c r="A1512" s="182">
        <v>42736</v>
      </c>
      <c r="B1512" s="183" t="s">
        <v>383</v>
      </c>
      <c r="C1512" s="183" t="s">
        <v>279</v>
      </c>
      <c r="D1512" s="184" t="s">
        <v>384</v>
      </c>
      <c r="E1512" s="184"/>
      <c r="F1512" s="184"/>
      <c r="G1512" s="185"/>
      <c r="H1512" s="186">
        <v>-1122586</v>
      </c>
      <c r="I1512" s="187"/>
      <c r="J1512" s="2" t="s">
        <v>192</v>
      </c>
    </row>
    <row r="1513" spans="1:9" s="2" customFormat="1" ht="15">
      <c r="A1513" s="188"/>
      <c r="B1513" s="189"/>
      <c r="C1513" s="189"/>
      <c r="D1513" s="190"/>
      <c r="E1513" s="190"/>
      <c r="F1513" s="190"/>
      <c r="G1513" s="195" t="s">
        <v>385</v>
      </c>
      <c r="H1513" s="191">
        <f>SUM(H1512)</f>
        <v>-1122586</v>
      </c>
      <c r="I1513" s="187"/>
    </row>
    <row r="1514" spans="1:9" s="2" customFormat="1" ht="15">
      <c r="A1514" s="188"/>
      <c r="B1514" s="189"/>
      <c r="C1514" s="189"/>
      <c r="D1514" s="190"/>
      <c r="E1514" s="190"/>
      <c r="F1514" s="190"/>
      <c r="G1514" s="195"/>
      <c r="H1514" s="191"/>
      <c r="I1514" s="187"/>
    </row>
    <row r="1515" spans="1:10" s="2" customFormat="1" ht="15">
      <c r="A1515" s="182">
        <v>42736</v>
      </c>
      <c r="B1515" s="183" t="s">
        <v>383</v>
      </c>
      <c r="C1515" s="183" t="s">
        <v>402</v>
      </c>
      <c r="D1515" s="184" t="s">
        <v>418</v>
      </c>
      <c r="E1515" s="184"/>
      <c r="F1515" s="184"/>
      <c r="G1515" s="185"/>
      <c r="H1515" s="186">
        <v>880450</v>
      </c>
      <c r="I1515" s="187"/>
      <c r="J1515" s="2" t="s">
        <v>188</v>
      </c>
    </row>
    <row r="1516" spans="1:9" s="2" customFormat="1" ht="15">
      <c r="A1516" s="188"/>
      <c r="B1516" s="189"/>
      <c r="C1516" s="189"/>
      <c r="D1516" s="190"/>
      <c r="E1516" s="190"/>
      <c r="F1516" s="190"/>
      <c r="G1516" s="195" t="s">
        <v>419</v>
      </c>
      <c r="H1516" s="191">
        <f>SUM(H1515)</f>
        <v>880450</v>
      </c>
      <c r="I1516" s="187"/>
    </row>
    <row r="1517" spans="1:9" s="2" customFormat="1" ht="15">
      <c r="A1517" s="188"/>
      <c r="B1517" s="189"/>
      <c r="C1517" s="189"/>
      <c r="D1517" s="190"/>
      <c r="E1517" s="190"/>
      <c r="F1517" s="190"/>
      <c r="G1517" s="195"/>
      <c r="H1517" s="191"/>
      <c r="I1517" s="187"/>
    </row>
    <row r="1518" spans="1:9" s="2" customFormat="1" ht="15">
      <c r="A1518" s="188"/>
      <c r="B1518" s="189"/>
      <c r="C1518" s="189"/>
      <c r="D1518" s="190"/>
      <c r="E1518" s="190"/>
      <c r="F1518" s="190"/>
      <c r="G1518" s="195" t="s">
        <v>420</v>
      </c>
      <c r="H1518" s="278">
        <f>H1513+H1516</f>
        <v>-242136</v>
      </c>
      <c r="I1518" s="187"/>
    </row>
    <row r="1519" spans="1:9" s="199" customFormat="1" ht="15" hidden="1" outlineLevel="1">
      <c r="A1519" s="217"/>
      <c r="B1519" s="240"/>
      <c r="C1519" s="240"/>
      <c r="D1519" s="226"/>
      <c r="E1519" s="226"/>
      <c r="F1519" s="226"/>
      <c r="G1519" s="242"/>
      <c r="H1519" s="254"/>
      <c r="I1519" s="230"/>
    </row>
    <row r="1520" spans="1:10" s="199" customFormat="1" ht="15" hidden="1" outlineLevel="1">
      <c r="A1520" s="212">
        <v>42658</v>
      </c>
      <c r="B1520" s="213" t="s">
        <v>873</v>
      </c>
      <c r="C1520" s="213" t="s">
        <v>874</v>
      </c>
      <c r="D1520" s="215" t="s">
        <v>875</v>
      </c>
      <c r="E1520" s="215"/>
      <c r="F1520" s="215"/>
      <c r="G1520" s="222"/>
      <c r="H1520" s="239">
        <v>0</v>
      </c>
      <c r="I1520" s="230"/>
      <c r="J1520" s="199" t="s">
        <v>1358</v>
      </c>
    </row>
    <row r="1521" spans="1:9" s="199" customFormat="1" ht="15" hidden="1" outlineLevel="1">
      <c r="A1521" s="217"/>
      <c r="B1521" s="240"/>
      <c r="C1521" s="240"/>
      <c r="D1521" s="226"/>
      <c r="E1521" s="226"/>
      <c r="F1521" s="226"/>
      <c r="G1521" s="242" t="s">
        <v>876</v>
      </c>
      <c r="H1521" s="237">
        <f>SUM(H1520)</f>
        <v>0</v>
      </c>
      <c r="I1521" s="230"/>
    </row>
    <row r="1522" spans="1:9" s="199" customFormat="1" ht="15" hidden="1" outlineLevel="1">
      <c r="A1522" s="217"/>
      <c r="B1522" s="240"/>
      <c r="C1522" s="240"/>
      <c r="D1522" s="226"/>
      <c r="E1522" s="226"/>
      <c r="F1522" s="226"/>
      <c r="G1522" s="242"/>
      <c r="H1522" s="237"/>
      <c r="I1522" s="230"/>
    </row>
    <row r="1523" spans="1:10" s="199" customFormat="1" ht="15" hidden="1" outlineLevel="1">
      <c r="A1523" s="217">
        <v>42658</v>
      </c>
      <c r="B1523" s="240" t="s">
        <v>873</v>
      </c>
      <c r="C1523" s="240" t="s">
        <v>821</v>
      </c>
      <c r="D1523" s="226" t="s">
        <v>877</v>
      </c>
      <c r="E1523" s="226"/>
      <c r="F1523" s="226"/>
      <c r="G1523" s="242"/>
      <c r="H1523" s="237">
        <v>0</v>
      </c>
      <c r="I1523" s="230"/>
      <c r="J1523" s="199" t="s">
        <v>1358</v>
      </c>
    </row>
    <row r="1524" spans="1:10" s="199" customFormat="1" ht="15" hidden="1" outlineLevel="1">
      <c r="A1524" s="212">
        <v>42346</v>
      </c>
      <c r="B1524" s="213" t="s">
        <v>873</v>
      </c>
      <c r="C1524" s="213" t="s">
        <v>825</v>
      </c>
      <c r="D1524" s="215" t="s">
        <v>878</v>
      </c>
      <c r="E1524" s="215"/>
      <c r="F1524" s="215"/>
      <c r="G1524" s="222"/>
      <c r="H1524" s="239">
        <v>0</v>
      </c>
      <c r="I1524" s="230"/>
      <c r="J1524" s="199" t="s">
        <v>824</v>
      </c>
    </row>
    <row r="1525" spans="1:9" s="199" customFormat="1" ht="15" hidden="1" outlineLevel="1">
      <c r="A1525" s="217"/>
      <c r="B1525" s="240"/>
      <c r="C1525" s="240"/>
      <c r="D1525" s="226"/>
      <c r="E1525" s="226"/>
      <c r="F1525" s="226"/>
      <c r="G1525" s="242" t="s">
        <v>879</v>
      </c>
      <c r="H1525" s="237">
        <f>SUM(H1523:H1524)</f>
        <v>0</v>
      </c>
      <c r="I1525" s="230"/>
    </row>
    <row r="1526" spans="1:9" s="199" customFormat="1" ht="15" hidden="1" outlineLevel="1">
      <c r="A1526" s="217"/>
      <c r="B1526" s="240"/>
      <c r="C1526" s="240"/>
      <c r="D1526" s="226"/>
      <c r="E1526" s="226"/>
      <c r="F1526" s="226"/>
      <c r="G1526" s="242"/>
      <c r="H1526" s="254"/>
      <c r="I1526" s="230"/>
    </row>
    <row r="1527" spans="1:9" s="199" customFormat="1" ht="15" hidden="1" outlineLevel="1">
      <c r="A1527" s="217"/>
      <c r="B1527" s="240"/>
      <c r="C1527" s="240"/>
      <c r="D1527" s="226"/>
      <c r="E1527" s="226"/>
      <c r="F1527" s="226"/>
      <c r="G1527" s="242" t="s">
        <v>883</v>
      </c>
      <c r="H1527" s="254">
        <f>H1521+H1525</f>
        <v>0</v>
      </c>
      <c r="I1527" s="230"/>
    </row>
    <row r="1528" spans="1:9" s="199" customFormat="1" ht="15" hidden="1" outlineLevel="1">
      <c r="A1528" s="217"/>
      <c r="B1528" s="240"/>
      <c r="C1528" s="240"/>
      <c r="D1528" s="226"/>
      <c r="E1528" s="226"/>
      <c r="F1528" s="226"/>
      <c r="G1528" s="242"/>
      <c r="H1528" s="254"/>
      <c r="I1528" s="230"/>
    </row>
    <row r="1529" spans="1:10" s="199" customFormat="1" ht="15" hidden="1" outlineLevel="1">
      <c r="A1529" s="212">
        <v>42717</v>
      </c>
      <c r="B1529" s="213" t="s">
        <v>1428</v>
      </c>
      <c r="C1529" s="213" t="s">
        <v>1429</v>
      </c>
      <c r="D1529" s="215" t="s">
        <v>1430</v>
      </c>
      <c r="E1529" s="215"/>
      <c r="F1529" s="215"/>
      <c r="G1529" s="222"/>
      <c r="H1529" s="239">
        <v>0</v>
      </c>
      <c r="I1529" s="230"/>
      <c r="J1529" s="199" t="s">
        <v>1417</v>
      </c>
    </row>
    <row r="1530" spans="1:9" s="199" customFormat="1" ht="15" hidden="1" outlineLevel="1">
      <c r="A1530" s="217"/>
      <c r="B1530" s="240"/>
      <c r="C1530" s="240"/>
      <c r="D1530" s="226"/>
      <c r="E1530" s="226"/>
      <c r="F1530" s="226"/>
      <c r="G1530" s="242" t="s">
        <v>1431</v>
      </c>
      <c r="H1530" s="237">
        <f>SUM(H1529)</f>
        <v>0</v>
      </c>
      <c r="I1530" s="230"/>
    </row>
    <row r="1531" spans="1:9" s="199" customFormat="1" ht="15" hidden="1" outlineLevel="1">
      <c r="A1531" s="217"/>
      <c r="B1531" s="240"/>
      <c r="C1531" s="240"/>
      <c r="D1531" s="226"/>
      <c r="E1531" s="226"/>
      <c r="F1531" s="226"/>
      <c r="G1531" s="242"/>
      <c r="H1531" s="254"/>
      <c r="I1531" s="230"/>
    </row>
    <row r="1532" spans="1:10" s="199" customFormat="1" ht="15" hidden="1" outlineLevel="1">
      <c r="A1532" s="212">
        <v>42796</v>
      </c>
      <c r="B1532" s="213" t="s">
        <v>266</v>
      </c>
      <c r="C1532" s="213" t="s">
        <v>1524</v>
      </c>
      <c r="D1532" s="215" t="s">
        <v>1530</v>
      </c>
      <c r="E1532" s="215"/>
      <c r="F1532" s="215"/>
      <c r="G1532" s="255"/>
      <c r="H1532" s="239">
        <v>0</v>
      </c>
      <c r="I1532" s="230"/>
      <c r="J1532" s="199" t="s">
        <v>103</v>
      </c>
    </row>
    <row r="1533" spans="1:10" s="199" customFormat="1" ht="15" hidden="1" outlineLevel="1">
      <c r="A1533" s="225">
        <v>42370</v>
      </c>
      <c r="B1533" s="218" t="s">
        <v>266</v>
      </c>
      <c r="C1533" s="218" t="s">
        <v>759</v>
      </c>
      <c r="D1533" s="216" t="s">
        <v>1020</v>
      </c>
      <c r="E1533" s="216"/>
      <c r="F1533" s="216"/>
      <c r="G1533" s="207"/>
      <c r="H1533" s="245">
        <v>0</v>
      </c>
      <c r="I1533" s="230"/>
      <c r="J1533" s="199" t="s">
        <v>188</v>
      </c>
    </row>
    <row r="1534" spans="1:10" s="199" customFormat="1" ht="15" hidden="1" outlineLevel="1">
      <c r="A1534" s="225">
        <v>42370</v>
      </c>
      <c r="B1534" s="218" t="s">
        <v>266</v>
      </c>
      <c r="C1534" s="218" t="s">
        <v>759</v>
      </c>
      <c r="D1534" s="216" t="s">
        <v>1022</v>
      </c>
      <c r="E1534" s="216"/>
      <c r="F1534" s="216"/>
      <c r="G1534" s="207"/>
      <c r="H1534" s="245">
        <v>0</v>
      </c>
      <c r="I1534" s="230"/>
      <c r="J1534" s="199" t="s">
        <v>188</v>
      </c>
    </row>
    <row r="1535" spans="1:10" s="199" customFormat="1" ht="15" hidden="1" outlineLevel="1">
      <c r="A1535" s="225">
        <v>42370</v>
      </c>
      <c r="B1535" s="218" t="s">
        <v>266</v>
      </c>
      <c r="C1535" s="218" t="s">
        <v>759</v>
      </c>
      <c r="D1535" s="216" t="s">
        <v>1024</v>
      </c>
      <c r="E1535" s="216"/>
      <c r="F1535" s="216"/>
      <c r="G1535" s="207"/>
      <c r="H1535" s="245">
        <v>0</v>
      </c>
      <c r="I1535" s="230"/>
      <c r="J1535" s="199" t="s">
        <v>188</v>
      </c>
    </row>
    <row r="1536" spans="1:10" s="199" customFormat="1" ht="15" hidden="1" outlineLevel="1">
      <c r="A1536" s="212">
        <v>42370</v>
      </c>
      <c r="B1536" s="213" t="s">
        <v>266</v>
      </c>
      <c r="C1536" s="213" t="s">
        <v>759</v>
      </c>
      <c r="D1536" s="215" t="s">
        <v>1025</v>
      </c>
      <c r="E1536" s="215"/>
      <c r="F1536" s="215"/>
      <c r="G1536" s="222"/>
      <c r="H1536" s="239">
        <v>0</v>
      </c>
      <c r="I1536" s="230"/>
      <c r="J1536" s="199" t="s">
        <v>188</v>
      </c>
    </row>
    <row r="1537" spans="1:9" s="199" customFormat="1" ht="15" hidden="1" outlineLevel="1">
      <c r="A1537" s="217"/>
      <c r="B1537" s="240"/>
      <c r="C1537" s="240"/>
      <c r="D1537" s="226"/>
      <c r="E1537" s="226"/>
      <c r="F1537" s="226"/>
      <c r="G1537" s="242" t="s">
        <v>1529</v>
      </c>
      <c r="H1537" s="237">
        <f>SUM(H1532:H1536)</f>
        <v>0</v>
      </c>
      <c r="I1537" s="230"/>
    </row>
    <row r="1538" spans="1:9" s="199" customFormat="1" ht="15" hidden="1" outlineLevel="1">
      <c r="A1538" s="217"/>
      <c r="B1538" s="240"/>
      <c r="C1538" s="240"/>
      <c r="D1538" s="226"/>
      <c r="E1538" s="226"/>
      <c r="F1538" s="226"/>
      <c r="G1538" s="242"/>
      <c r="H1538" s="237"/>
      <c r="I1538" s="230"/>
    </row>
    <row r="1539" spans="1:10" s="247" customFormat="1" ht="15" hidden="1" outlineLevel="1">
      <c r="A1539" s="234">
        <v>42346</v>
      </c>
      <c r="B1539" s="205" t="s">
        <v>266</v>
      </c>
      <c r="C1539" s="205" t="s">
        <v>72</v>
      </c>
      <c r="D1539" s="202" t="s">
        <v>815</v>
      </c>
      <c r="E1539" s="202"/>
      <c r="F1539" s="202"/>
      <c r="G1539" s="222"/>
      <c r="H1539" s="206">
        <v>0</v>
      </c>
      <c r="I1539" s="210"/>
      <c r="J1539" s="199" t="s">
        <v>155</v>
      </c>
    </row>
    <row r="1540" spans="1:9" s="247" customFormat="1" ht="15" hidden="1" outlineLevel="1">
      <c r="A1540" s="231"/>
      <c r="B1540" s="204"/>
      <c r="C1540" s="204"/>
      <c r="D1540" s="203"/>
      <c r="E1540" s="203"/>
      <c r="F1540" s="203"/>
      <c r="G1540" s="207" t="s">
        <v>816</v>
      </c>
      <c r="H1540" s="208">
        <f>SUM(H1539)</f>
        <v>0</v>
      </c>
      <c r="I1540" s="210"/>
    </row>
    <row r="1541" spans="1:9" s="2" customFormat="1" ht="15" collapsed="1">
      <c r="A1541" s="188"/>
      <c r="B1541" s="189"/>
      <c r="C1541" s="189"/>
      <c r="D1541" s="190"/>
      <c r="E1541" s="190"/>
      <c r="F1541" s="190"/>
      <c r="G1541" s="190"/>
      <c r="H1541" s="191"/>
      <c r="I1541" s="187"/>
    </row>
    <row r="1542" spans="1:10" s="2" customFormat="1" ht="15">
      <c r="A1542" s="261">
        <v>42736</v>
      </c>
      <c r="B1542" s="262" t="s">
        <v>266</v>
      </c>
      <c r="C1542" s="262" t="s">
        <v>182</v>
      </c>
      <c r="D1542" s="193" t="s">
        <v>390</v>
      </c>
      <c r="E1542" s="193"/>
      <c r="F1542" s="193"/>
      <c r="G1542" s="193"/>
      <c r="H1542" s="263">
        <v>-765129</v>
      </c>
      <c r="I1542" s="187"/>
      <c r="J1542" s="2" t="s">
        <v>192</v>
      </c>
    </row>
    <row r="1543" spans="1:10" s="199" customFormat="1" ht="15" hidden="1" outlineLevel="1">
      <c r="A1543" s="225">
        <v>42370</v>
      </c>
      <c r="B1543" s="218" t="s">
        <v>266</v>
      </c>
      <c r="C1543" s="218" t="s">
        <v>182</v>
      </c>
      <c r="D1543" s="216" t="s">
        <v>276</v>
      </c>
      <c r="E1543" s="216"/>
      <c r="F1543" s="216"/>
      <c r="G1543" s="216"/>
      <c r="H1543" s="245">
        <v>0</v>
      </c>
      <c r="I1543" s="230"/>
      <c r="J1543" s="199" t="s">
        <v>192</v>
      </c>
    </row>
    <row r="1544" spans="1:10" s="199" customFormat="1" ht="15" hidden="1" outlineLevel="1">
      <c r="A1544" s="212">
        <v>42370</v>
      </c>
      <c r="B1544" s="213" t="s">
        <v>266</v>
      </c>
      <c r="C1544" s="213" t="s">
        <v>182</v>
      </c>
      <c r="D1544" s="215" t="s">
        <v>277</v>
      </c>
      <c r="E1544" s="215"/>
      <c r="F1544" s="215"/>
      <c r="G1544" s="215"/>
      <c r="H1544" s="239">
        <v>0</v>
      </c>
      <c r="I1544" s="230"/>
      <c r="J1544" s="199" t="s">
        <v>192</v>
      </c>
    </row>
    <row r="1545" spans="1:9" s="2" customFormat="1" ht="15" collapsed="1">
      <c r="A1545" s="188"/>
      <c r="B1545" s="189"/>
      <c r="C1545" s="189"/>
      <c r="D1545" s="190"/>
      <c r="E1545" s="190"/>
      <c r="F1545" s="190"/>
      <c r="G1545" s="195" t="s">
        <v>390</v>
      </c>
      <c r="H1545" s="191">
        <f>SUM(H1542:H1544)</f>
        <v>-765129</v>
      </c>
      <c r="I1545" s="187"/>
    </row>
    <row r="1546" spans="1:9" s="199" customFormat="1" ht="15" hidden="1" outlineLevel="1">
      <c r="A1546" s="217"/>
      <c r="B1546" s="240"/>
      <c r="C1546" s="240"/>
      <c r="D1546" s="226"/>
      <c r="E1546" s="226"/>
      <c r="F1546" s="226"/>
      <c r="G1546" s="242"/>
      <c r="H1546" s="237"/>
      <c r="I1546" s="230"/>
    </row>
    <row r="1547" spans="1:10" s="199" customFormat="1" ht="15" hidden="1" outlineLevel="1">
      <c r="A1547" s="212">
        <v>42216</v>
      </c>
      <c r="B1547" s="213" t="s">
        <v>266</v>
      </c>
      <c r="C1547" s="213" t="s">
        <v>691</v>
      </c>
      <c r="D1547" s="215" t="s">
        <v>707</v>
      </c>
      <c r="E1547" s="215"/>
      <c r="F1547" s="215"/>
      <c r="G1547" s="222"/>
      <c r="H1547" s="239">
        <v>0</v>
      </c>
      <c r="I1547" s="230"/>
      <c r="J1547" s="199" t="s">
        <v>696</v>
      </c>
    </row>
    <row r="1548" spans="1:9" s="199" customFormat="1" ht="15" hidden="1" outlineLevel="1">
      <c r="A1548" s="217"/>
      <c r="B1548" s="240"/>
      <c r="C1548" s="240"/>
      <c r="D1548" s="226"/>
      <c r="E1548" s="226"/>
      <c r="F1548" s="226"/>
      <c r="G1548" s="242" t="s">
        <v>708</v>
      </c>
      <c r="H1548" s="237">
        <f>SUM(H1547)</f>
        <v>0</v>
      </c>
      <c r="I1548" s="230"/>
    </row>
    <row r="1549" spans="1:9" s="2" customFormat="1" ht="15" collapsed="1">
      <c r="A1549" s="188"/>
      <c r="B1549" s="189"/>
      <c r="C1549" s="189"/>
      <c r="D1549" s="190"/>
      <c r="E1549" s="190"/>
      <c r="F1549" s="190"/>
      <c r="G1549" s="195"/>
      <c r="H1549" s="191"/>
      <c r="I1549" s="187"/>
    </row>
    <row r="1550" spans="1:9" s="2" customFormat="1" ht="15">
      <c r="A1550" s="188"/>
      <c r="B1550" s="189"/>
      <c r="C1550" s="189"/>
      <c r="D1550" s="190"/>
      <c r="E1550" s="190"/>
      <c r="F1550" s="190"/>
      <c r="G1550" s="195" t="s">
        <v>709</v>
      </c>
      <c r="H1550" s="278">
        <f>H1537+H1540+H1545+H1548</f>
        <v>-765129</v>
      </c>
      <c r="I1550" s="187"/>
    </row>
    <row r="1551" spans="1:9" s="199" customFormat="1" ht="15" hidden="1" outlineLevel="1">
      <c r="A1551" s="217"/>
      <c r="B1551" s="240"/>
      <c r="C1551" s="240"/>
      <c r="D1551" s="226"/>
      <c r="E1551" s="226"/>
      <c r="F1551" s="226"/>
      <c r="G1551" s="242"/>
      <c r="H1551" s="254"/>
      <c r="I1551" s="230"/>
    </row>
    <row r="1552" spans="1:10" s="199" customFormat="1" ht="15" hidden="1" outlineLevel="1" collapsed="1">
      <c r="A1552" s="212">
        <v>42005</v>
      </c>
      <c r="B1552" s="213" t="s">
        <v>936</v>
      </c>
      <c r="C1552" s="213" t="s">
        <v>87</v>
      </c>
      <c r="D1552" s="215" t="s">
        <v>937</v>
      </c>
      <c r="E1552" s="215"/>
      <c r="F1552" s="215"/>
      <c r="G1552" s="222"/>
      <c r="H1552" s="239">
        <v>0</v>
      </c>
      <c r="I1552" s="230" t="s">
        <v>939</v>
      </c>
      <c r="J1552" s="199" t="s">
        <v>921</v>
      </c>
    </row>
    <row r="1553" spans="1:9" s="199" customFormat="1" ht="15" hidden="1" outlineLevel="1">
      <c r="A1553" s="217"/>
      <c r="B1553" s="240"/>
      <c r="C1553" s="240"/>
      <c r="D1553" s="226"/>
      <c r="E1553" s="226"/>
      <c r="F1553" s="226"/>
      <c r="G1553" s="242" t="s">
        <v>938</v>
      </c>
      <c r="H1553" s="237">
        <f>SUM(H1552)</f>
        <v>0</v>
      </c>
      <c r="I1553" s="230"/>
    </row>
    <row r="1554" spans="1:9" s="199" customFormat="1" ht="15" hidden="1" outlineLevel="1">
      <c r="A1554" s="217"/>
      <c r="B1554" s="240"/>
      <c r="C1554" s="240"/>
      <c r="D1554" s="226"/>
      <c r="E1554" s="226"/>
      <c r="F1554" s="226"/>
      <c r="G1554" s="242"/>
      <c r="H1554" s="237"/>
      <c r="I1554" s="230"/>
    </row>
    <row r="1555" spans="1:10" s="199" customFormat="1" ht="15" hidden="1" outlineLevel="1">
      <c r="A1555" s="217">
        <v>42886</v>
      </c>
      <c r="B1555" s="218"/>
      <c r="C1555" s="221"/>
      <c r="D1555" s="216" t="s">
        <v>1183</v>
      </c>
      <c r="E1555" s="216"/>
      <c r="F1555" s="216"/>
      <c r="G1555" s="207"/>
      <c r="H1555" s="208">
        <v>0</v>
      </c>
      <c r="I1555" s="216"/>
      <c r="J1555" s="199" t="s">
        <v>1184</v>
      </c>
    </row>
    <row r="1556" spans="1:9" s="199" customFormat="1" ht="15" hidden="1" outlineLevel="1">
      <c r="A1556" s="217"/>
      <c r="B1556" s="218"/>
      <c r="C1556" s="221"/>
      <c r="D1556" s="216"/>
      <c r="E1556" s="216"/>
      <c r="F1556" s="216"/>
      <c r="G1556" s="207"/>
      <c r="H1556" s="208"/>
      <c r="I1556" s="216"/>
    </row>
    <row r="1557" spans="1:10" s="199" customFormat="1" ht="15" hidden="1" outlineLevel="1">
      <c r="A1557" s="217">
        <v>42370</v>
      </c>
      <c r="B1557" s="218"/>
      <c r="C1557" s="221"/>
      <c r="D1557" s="216" t="s">
        <v>1185</v>
      </c>
      <c r="E1557" s="216"/>
      <c r="F1557" s="216"/>
      <c r="G1557" s="207"/>
      <c r="H1557" s="208">
        <v>0</v>
      </c>
      <c r="I1557" s="216"/>
      <c r="J1557" s="199" t="s">
        <v>145</v>
      </c>
    </row>
    <row r="1558" spans="1:9" s="2" customFormat="1" ht="15" collapsed="1">
      <c r="A1558" s="188"/>
      <c r="B1558" s="189"/>
      <c r="C1558" s="189"/>
      <c r="D1558" s="190"/>
      <c r="E1558" s="190"/>
      <c r="F1558" s="190"/>
      <c r="G1558" s="190"/>
      <c r="H1558" s="191"/>
      <c r="I1558" s="187"/>
    </row>
    <row r="1559" spans="1:9" s="2" customFormat="1" ht="15">
      <c r="A1559" s="188"/>
      <c r="B1559" s="189"/>
      <c r="C1559" s="189"/>
      <c r="D1559" s="190"/>
      <c r="E1559" s="190"/>
      <c r="F1559" s="190"/>
      <c r="G1559" s="195" t="s">
        <v>386</v>
      </c>
      <c r="H1559" s="278">
        <f>H1094+H1103+H1106+H1109+H1112+H1123+H1136+H1148+H1156+H1167+H1175+H1187+H1202+H1213+H1229+H1241+H1244+H1259+H1271+H1283+H1292+H1300+H1312+H1327+H1336+H1347+H1368+H1372+H1386+H1397+H1409+H1420+H1431+H1446+H1458+H1470+H1486+H1496+H1499+H1510+H1518+H1527+H1529+H1550+H1553</f>
        <v>-15514313</v>
      </c>
      <c r="I1559" s="187"/>
    </row>
    <row r="1560" spans="1:9" s="2" customFormat="1" ht="15">
      <c r="A1560" s="188"/>
      <c r="B1560" s="189"/>
      <c r="C1560" s="189"/>
      <c r="D1560" s="190"/>
      <c r="E1560" s="190"/>
      <c r="F1560" s="190"/>
      <c r="G1560" s="195" t="s">
        <v>386</v>
      </c>
      <c r="H1560" s="278">
        <f>H1559+H1555+H1557</f>
        <v>-15514313</v>
      </c>
      <c r="I1560" s="187"/>
    </row>
    <row r="1561" spans="1:9" s="2" customFormat="1" ht="15">
      <c r="A1561" s="188"/>
      <c r="B1561" s="189"/>
      <c r="C1561" s="189"/>
      <c r="D1561" s="190"/>
      <c r="E1561" s="190"/>
      <c r="F1561" s="190"/>
      <c r="G1561" s="190"/>
      <c r="H1561" s="191"/>
      <c r="I1561" s="187"/>
    </row>
    <row r="1562" spans="1:9" s="2" customFormat="1" ht="15" collapsed="1">
      <c r="A1562" s="289" t="s">
        <v>387</v>
      </c>
      <c r="B1562" s="189"/>
      <c r="C1562" s="189"/>
      <c r="D1562" s="190"/>
      <c r="E1562" s="190"/>
      <c r="F1562" s="190"/>
      <c r="G1562" s="190"/>
      <c r="H1562" s="191"/>
      <c r="I1562" s="187"/>
    </row>
    <row r="1563" spans="1:10" s="247" customFormat="1" ht="15" hidden="1" outlineLevel="1">
      <c r="A1563" s="231">
        <v>42796</v>
      </c>
      <c r="B1563" s="204" t="s">
        <v>98</v>
      </c>
      <c r="C1563" s="204" t="s">
        <v>985</v>
      </c>
      <c r="D1563" s="203" t="s">
        <v>1535</v>
      </c>
      <c r="E1563" s="203"/>
      <c r="F1563" s="203"/>
      <c r="G1563" s="203"/>
      <c r="H1563" s="208">
        <v>0</v>
      </c>
      <c r="I1563" s="210" t="s">
        <v>1513</v>
      </c>
      <c r="J1563" s="247" t="s">
        <v>103</v>
      </c>
    </row>
    <row r="1564" spans="1:10" s="247" customFormat="1" ht="15" hidden="1" outlineLevel="1">
      <c r="A1564" s="231">
        <v>42796</v>
      </c>
      <c r="B1564" s="204" t="s">
        <v>98</v>
      </c>
      <c r="C1564" s="204" t="s">
        <v>985</v>
      </c>
      <c r="D1564" s="203" t="s">
        <v>6</v>
      </c>
      <c r="E1564" s="203"/>
      <c r="F1564" s="203"/>
      <c r="G1564" s="203"/>
      <c r="H1564" s="208">
        <v>0</v>
      </c>
      <c r="I1564" s="210" t="s">
        <v>1521</v>
      </c>
      <c r="J1564" s="200" t="s">
        <v>103</v>
      </c>
    </row>
    <row r="1565" spans="1:10" s="247" customFormat="1" ht="15" hidden="1" outlineLevel="1">
      <c r="A1565" s="231">
        <v>42796</v>
      </c>
      <c r="B1565" s="204" t="s">
        <v>98</v>
      </c>
      <c r="C1565" s="204" t="s">
        <v>1527</v>
      </c>
      <c r="D1565" s="203" t="s">
        <v>1536</v>
      </c>
      <c r="E1565" s="203"/>
      <c r="F1565" s="203"/>
      <c r="G1565" s="203"/>
      <c r="H1565" s="208">
        <v>0</v>
      </c>
      <c r="I1565" s="210" t="s">
        <v>1521</v>
      </c>
      <c r="J1565" s="200" t="s">
        <v>103</v>
      </c>
    </row>
    <row r="1566" spans="1:10" s="247" customFormat="1" ht="15" hidden="1" outlineLevel="1">
      <c r="A1566" s="231">
        <v>42796</v>
      </c>
      <c r="B1566" s="204" t="s">
        <v>98</v>
      </c>
      <c r="C1566" s="204" t="s">
        <v>99</v>
      </c>
      <c r="D1566" s="203" t="s">
        <v>1537</v>
      </c>
      <c r="E1566" s="203"/>
      <c r="F1566" s="203"/>
      <c r="G1566" s="203"/>
      <c r="H1566" s="208">
        <v>0</v>
      </c>
      <c r="I1566" s="210" t="s">
        <v>1522</v>
      </c>
      <c r="J1566" s="200" t="s">
        <v>103</v>
      </c>
    </row>
    <row r="1567" spans="1:10" s="247" customFormat="1" ht="15" hidden="1" outlineLevel="1">
      <c r="A1567" s="231">
        <v>42851</v>
      </c>
      <c r="B1567" s="204" t="s">
        <v>98</v>
      </c>
      <c r="C1567" s="204" t="s">
        <v>985</v>
      </c>
      <c r="D1567" s="203" t="s">
        <v>1538</v>
      </c>
      <c r="E1567" s="203"/>
      <c r="F1567" s="203"/>
      <c r="G1567" s="203"/>
      <c r="H1567" s="208">
        <v>0</v>
      </c>
      <c r="I1567" s="210" t="s">
        <v>1532</v>
      </c>
      <c r="J1567" s="247" t="s">
        <v>67</v>
      </c>
    </row>
    <row r="1568" spans="1:10" s="247" customFormat="1" ht="15" hidden="1" outlineLevel="1">
      <c r="A1568" s="231">
        <v>42851</v>
      </c>
      <c r="B1568" s="204" t="s">
        <v>98</v>
      </c>
      <c r="C1568" s="204" t="s">
        <v>985</v>
      </c>
      <c r="D1568" s="203" t="s">
        <v>1068</v>
      </c>
      <c r="E1568" s="203"/>
      <c r="F1568" s="203"/>
      <c r="G1568" s="203"/>
      <c r="H1568" s="208">
        <v>0</v>
      </c>
      <c r="I1568" s="210" t="s">
        <v>1533</v>
      </c>
      <c r="J1568" s="256" t="s">
        <v>67</v>
      </c>
    </row>
    <row r="1569" spans="1:10" s="247" customFormat="1" ht="15" hidden="1" outlineLevel="1">
      <c r="A1569" s="231">
        <v>42851</v>
      </c>
      <c r="B1569" s="204" t="s">
        <v>98</v>
      </c>
      <c r="C1569" s="204" t="s">
        <v>1010</v>
      </c>
      <c r="D1569" s="203" t="s">
        <v>1069</v>
      </c>
      <c r="E1569" s="203"/>
      <c r="F1569" s="203"/>
      <c r="G1569" s="203"/>
      <c r="H1569" s="208">
        <v>0</v>
      </c>
      <c r="I1569" s="210" t="s">
        <v>1533</v>
      </c>
      <c r="J1569" s="256" t="s">
        <v>67</v>
      </c>
    </row>
    <row r="1570" spans="1:10" s="247" customFormat="1" ht="15" hidden="1" outlineLevel="1">
      <c r="A1570" s="234">
        <v>42851</v>
      </c>
      <c r="B1570" s="205" t="s">
        <v>1534</v>
      </c>
      <c r="C1570" s="205" t="s">
        <v>1010</v>
      </c>
      <c r="D1570" s="202" t="s">
        <v>1539</v>
      </c>
      <c r="E1570" s="202"/>
      <c r="F1570" s="202"/>
      <c r="G1570" s="202"/>
      <c r="H1570" s="206">
        <v>0</v>
      </c>
      <c r="I1570" s="210" t="s">
        <v>1533</v>
      </c>
      <c r="J1570" s="256" t="s">
        <v>67</v>
      </c>
    </row>
    <row r="1571" spans="1:10" s="247" customFormat="1" ht="15" hidden="1" outlineLevel="1">
      <c r="A1571" s="231">
        <v>42488</v>
      </c>
      <c r="B1571" s="204" t="s">
        <v>98</v>
      </c>
      <c r="C1571" s="204" t="s">
        <v>985</v>
      </c>
      <c r="D1571" s="203" t="s">
        <v>1076</v>
      </c>
      <c r="E1571" s="203"/>
      <c r="F1571" s="203"/>
      <c r="G1571" s="203"/>
      <c r="H1571" s="208">
        <v>0</v>
      </c>
      <c r="I1571" s="210" t="s">
        <v>1075</v>
      </c>
      <c r="J1571" s="200" t="s">
        <v>104</v>
      </c>
    </row>
    <row r="1572" spans="1:10" s="247" customFormat="1" ht="15" hidden="1" outlineLevel="1">
      <c r="A1572" s="231">
        <v>42488</v>
      </c>
      <c r="B1572" s="204" t="s">
        <v>98</v>
      </c>
      <c r="C1572" s="204" t="s">
        <v>100</v>
      </c>
      <c r="D1572" s="203" t="s">
        <v>1123</v>
      </c>
      <c r="E1572" s="203"/>
      <c r="F1572" s="203"/>
      <c r="G1572" s="203"/>
      <c r="H1572" s="208">
        <v>0</v>
      </c>
      <c r="I1572" s="210" t="s">
        <v>1124</v>
      </c>
      <c r="J1572" s="256" t="s">
        <v>104</v>
      </c>
    </row>
    <row r="1573" spans="1:10" s="247" customFormat="1" ht="15" hidden="1" outlineLevel="1">
      <c r="A1573" s="231">
        <v>42488</v>
      </c>
      <c r="B1573" s="204" t="s">
        <v>98</v>
      </c>
      <c r="C1573" s="204" t="s">
        <v>100</v>
      </c>
      <c r="D1573" s="203" t="s">
        <v>1125</v>
      </c>
      <c r="E1573" s="203"/>
      <c r="F1573" s="203"/>
      <c r="G1573" s="203"/>
      <c r="H1573" s="208">
        <v>0</v>
      </c>
      <c r="I1573" s="210" t="s">
        <v>1126</v>
      </c>
      <c r="J1573" s="256" t="s">
        <v>104</v>
      </c>
    </row>
    <row r="1574" spans="1:10" s="247" customFormat="1" ht="15" hidden="1" outlineLevel="1">
      <c r="A1574" s="231">
        <v>42488</v>
      </c>
      <c r="B1574" s="204" t="s">
        <v>98</v>
      </c>
      <c r="C1574" s="204" t="s">
        <v>100</v>
      </c>
      <c r="D1574" s="203" t="s">
        <v>1127</v>
      </c>
      <c r="E1574" s="203"/>
      <c r="F1574" s="203"/>
      <c r="G1574" s="203"/>
      <c r="H1574" s="208">
        <v>0</v>
      </c>
      <c r="I1574" s="210" t="s">
        <v>1128</v>
      </c>
      <c r="J1574" s="256" t="s">
        <v>104</v>
      </c>
    </row>
    <row r="1575" spans="1:9" s="173" customFormat="1" ht="15" collapsed="1">
      <c r="A1575" s="174"/>
      <c r="B1575" s="175"/>
      <c r="C1575" s="175"/>
      <c r="D1575" s="176"/>
      <c r="E1575" s="176"/>
      <c r="F1575" s="176"/>
      <c r="G1575" s="201" t="s">
        <v>101</v>
      </c>
      <c r="H1575" s="177">
        <f>SUM(H1563:H1574)</f>
        <v>0</v>
      </c>
      <c r="I1575" s="172"/>
    </row>
    <row r="1576" spans="1:9" s="173" customFormat="1" ht="15">
      <c r="A1576" s="174"/>
      <c r="B1576" s="175"/>
      <c r="C1576" s="175"/>
      <c r="D1576" s="176"/>
      <c r="E1576" s="176"/>
      <c r="F1576" s="176"/>
      <c r="G1576" s="201"/>
      <c r="H1576" s="177"/>
      <c r="I1576" s="172"/>
    </row>
    <row r="1577" spans="1:9" s="173" customFormat="1" ht="15">
      <c r="A1577" s="290" t="s">
        <v>1066</v>
      </c>
      <c r="B1577" s="175"/>
      <c r="C1577" s="175"/>
      <c r="D1577" s="176"/>
      <c r="E1577" s="176"/>
      <c r="F1577" s="176"/>
      <c r="G1577" s="201"/>
      <c r="H1577" s="177"/>
      <c r="I1577" s="172"/>
    </row>
    <row r="1578" spans="1:10" s="173" customFormat="1" ht="15">
      <c r="A1578" s="168">
        <v>42736</v>
      </c>
      <c r="B1578" s="169" t="s">
        <v>1088</v>
      </c>
      <c r="C1578" s="169" t="s">
        <v>1194</v>
      </c>
      <c r="D1578" s="170" t="s">
        <v>1195</v>
      </c>
      <c r="E1578" s="170"/>
      <c r="F1578" s="170"/>
      <c r="G1578" s="185"/>
      <c r="H1578" s="171">
        <v>5408000</v>
      </c>
      <c r="I1578" s="172"/>
      <c r="J1578" s="2" t="s">
        <v>188</v>
      </c>
    </row>
    <row r="1579" spans="1:9" s="173" customFormat="1" ht="15">
      <c r="A1579" s="174"/>
      <c r="B1579" s="175"/>
      <c r="C1579" s="175"/>
      <c r="D1579" s="176"/>
      <c r="E1579" s="176"/>
      <c r="F1579" s="176"/>
      <c r="G1579" s="201" t="s">
        <v>1196</v>
      </c>
      <c r="H1579" s="177">
        <f>SUM(H1578)</f>
        <v>5408000</v>
      </c>
      <c r="I1579" s="172"/>
    </row>
    <row r="1580" spans="1:9" s="200" customFormat="1" ht="15" hidden="1" outlineLevel="1">
      <c r="A1580" s="225"/>
      <c r="B1580" s="218"/>
      <c r="C1580" s="218"/>
      <c r="D1580" s="216"/>
      <c r="E1580" s="216"/>
      <c r="F1580" s="216"/>
      <c r="G1580" s="252"/>
      <c r="H1580" s="245"/>
      <c r="I1580" s="253"/>
    </row>
    <row r="1581" spans="1:10" s="247" customFormat="1" ht="15" hidden="1" outlineLevel="1">
      <c r="A1581" s="234">
        <v>42370</v>
      </c>
      <c r="B1581" s="205" t="s">
        <v>1088</v>
      </c>
      <c r="C1581" s="205" t="s">
        <v>1090</v>
      </c>
      <c r="D1581" s="202" t="s">
        <v>1091</v>
      </c>
      <c r="E1581" s="202"/>
      <c r="F1581" s="202"/>
      <c r="G1581" s="222"/>
      <c r="H1581" s="206">
        <v>0</v>
      </c>
      <c r="I1581" s="210"/>
      <c r="J1581" s="199" t="s">
        <v>188</v>
      </c>
    </row>
    <row r="1582" spans="1:9" s="247" customFormat="1" ht="15" hidden="1" outlineLevel="1">
      <c r="A1582" s="231"/>
      <c r="B1582" s="204"/>
      <c r="C1582" s="204"/>
      <c r="D1582" s="203"/>
      <c r="E1582" s="203"/>
      <c r="F1582" s="203"/>
      <c r="G1582" s="207" t="s">
        <v>1099</v>
      </c>
      <c r="H1582" s="208">
        <f>SUM(H1581)</f>
        <v>0</v>
      </c>
      <c r="I1582" s="210"/>
    </row>
    <row r="1583" spans="1:9" s="247" customFormat="1" ht="15" hidden="1" outlineLevel="1">
      <c r="A1583" s="251"/>
      <c r="B1583" s="204"/>
      <c r="C1583" s="204"/>
      <c r="D1583" s="203"/>
      <c r="E1583" s="203"/>
      <c r="F1583" s="203"/>
      <c r="G1583" s="207"/>
      <c r="H1583" s="208"/>
      <c r="I1583" s="210"/>
    </row>
    <row r="1584" spans="1:10" s="200" customFormat="1" ht="15" hidden="1" outlineLevel="1">
      <c r="A1584" s="225">
        <v>42370</v>
      </c>
      <c r="B1584" s="218" t="s">
        <v>1088</v>
      </c>
      <c r="C1584" s="218" t="s">
        <v>1162</v>
      </c>
      <c r="D1584" s="216" t="s">
        <v>1169</v>
      </c>
      <c r="E1584" s="216"/>
      <c r="F1584" s="216"/>
      <c r="G1584" s="252"/>
      <c r="H1584" s="245">
        <v>0</v>
      </c>
      <c r="I1584" s="253"/>
      <c r="J1584" s="200" t="s">
        <v>760</v>
      </c>
    </row>
    <row r="1585" spans="1:10" s="200" customFormat="1" ht="15" hidden="1" outlineLevel="1">
      <c r="A1585" s="225">
        <v>42370</v>
      </c>
      <c r="B1585" s="218" t="s">
        <v>1088</v>
      </c>
      <c r="C1585" s="218" t="s">
        <v>1163</v>
      </c>
      <c r="D1585" s="216" t="s">
        <v>1170</v>
      </c>
      <c r="E1585" s="216"/>
      <c r="F1585" s="216"/>
      <c r="G1585" s="252"/>
      <c r="H1585" s="245">
        <v>0</v>
      </c>
      <c r="I1585" s="253"/>
      <c r="J1585" s="200" t="s">
        <v>760</v>
      </c>
    </row>
    <row r="1586" spans="1:10" s="200" customFormat="1" ht="15" hidden="1" outlineLevel="1">
      <c r="A1586" s="225">
        <v>42370</v>
      </c>
      <c r="B1586" s="218" t="s">
        <v>1088</v>
      </c>
      <c r="C1586" s="218" t="s">
        <v>1166</v>
      </c>
      <c r="D1586" s="216" t="s">
        <v>1171</v>
      </c>
      <c r="E1586" s="216"/>
      <c r="F1586" s="216"/>
      <c r="G1586" s="252"/>
      <c r="H1586" s="245">
        <v>0</v>
      </c>
      <c r="I1586" s="253"/>
      <c r="J1586" s="200" t="s">
        <v>760</v>
      </c>
    </row>
    <row r="1587" spans="1:10" s="247" customFormat="1" ht="15" hidden="1" outlineLevel="1">
      <c r="A1587" s="234">
        <v>42370</v>
      </c>
      <c r="B1587" s="205" t="s">
        <v>1088</v>
      </c>
      <c r="C1587" s="205" t="s">
        <v>1052</v>
      </c>
      <c r="D1587" s="202" t="s">
        <v>1089</v>
      </c>
      <c r="E1587" s="202"/>
      <c r="F1587" s="202"/>
      <c r="G1587" s="222"/>
      <c r="H1587" s="206">
        <v>0</v>
      </c>
      <c r="I1587" s="210"/>
      <c r="J1587" s="199" t="s">
        <v>188</v>
      </c>
    </row>
    <row r="1588" spans="1:9" s="247" customFormat="1" ht="15" hidden="1" outlineLevel="1">
      <c r="A1588" s="231"/>
      <c r="B1588" s="204"/>
      <c r="C1588" s="204"/>
      <c r="D1588" s="203"/>
      <c r="E1588" s="203"/>
      <c r="F1588" s="203"/>
      <c r="G1588" s="207" t="s">
        <v>1080</v>
      </c>
      <c r="H1588" s="208">
        <f>SUM(H1584:H1587)</f>
        <v>0</v>
      </c>
      <c r="I1588" s="210"/>
    </row>
    <row r="1589" spans="1:9" s="173" customFormat="1" ht="15" collapsed="1">
      <c r="A1589" s="174"/>
      <c r="B1589" s="175"/>
      <c r="C1589" s="175"/>
      <c r="D1589" s="176"/>
      <c r="E1589" s="176"/>
      <c r="F1589" s="176"/>
      <c r="G1589" s="201"/>
      <c r="H1589" s="177"/>
      <c r="I1589" s="172"/>
    </row>
    <row r="1590" spans="1:9" s="2" customFormat="1" ht="15">
      <c r="A1590" s="188"/>
      <c r="B1590" s="189"/>
      <c r="C1590" s="189"/>
      <c r="D1590" s="190"/>
      <c r="E1590" s="190"/>
      <c r="F1590" s="190"/>
      <c r="G1590" s="195" t="s">
        <v>1092</v>
      </c>
      <c r="H1590" s="278">
        <f>H1579+H1582+H1588</f>
        <v>5408000</v>
      </c>
      <c r="I1590" s="187"/>
    </row>
    <row r="1591" spans="1:9" s="2" customFormat="1" ht="15">
      <c r="A1591" s="188"/>
      <c r="B1591" s="189"/>
      <c r="C1591" s="189"/>
      <c r="D1591" s="190"/>
      <c r="E1591" s="190"/>
      <c r="F1591" s="190"/>
      <c r="G1591" s="195"/>
      <c r="H1591" s="278"/>
      <c r="I1591" s="187"/>
    </row>
    <row r="1592" spans="1:10" s="173" customFormat="1" ht="15">
      <c r="A1592" s="168">
        <v>42736</v>
      </c>
      <c r="B1592" s="169" t="s">
        <v>1077</v>
      </c>
      <c r="C1592" s="169" t="s">
        <v>1194</v>
      </c>
      <c r="D1592" s="170" t="s">
        <v>1198</v>
      </c>
      <c r="E1592" s="170"/>
      <c r="F1592" s="170"/>
      <c r="G1592" s="185"/>
      <c r="H1592" s="171">
        <v>-4264000</v>
      </c>
      <c r="I1592" s="172"/>
      <c r="J1592" s="2" t="s">
        <v>188</v>
      </c>
    </row>
    <row r="1593" spans="1:9" s="173" customFormat="1" ht="15">
      <c r="A1593" s="174"/>
      <c r="B1593" s="175"/>
      <c r="C1593" s="175"/>
      <c r="D1593" s="176"/>
      <c r="E1593" s="176"/>
      <c r="F1593" s="176"/>
      <c r="G1593" s="201" t="s">
        <v>1196</v>
      </c>
      <c r="H1593" s="177">
        <f>SUM(H1592)</f>
        <v>-4264000</v>
      </c>
      <c r="I1593" s="172"/>
    </row>
    <row r="1594" spans="1:9" s="199" customFormat="1" ht="15" hidden="1" outlineLevel="1">
      <c r="A1594" s="217"/>
      <c r="B1594" s="240"/>
      <c r="C1594" s="240"/>
      <c r="D1594" s="226"/>
      <c r="E1594" s="226"/>
      <c r="F1594" s="226"/>
      <c r="G1594" s="242"/>
      <c r="H1594" s="254"/>
      <c r="I1594" s="230"/>
    </row>
    <row r="1595" spans="1:10" s="247" customFormat="1" ht="15" hidden="1" outlineLevel="1">
      <c r="A1595" s="234">
        <v>42370</v>
      </c>
      <c r="B1595" s="205" t="s">
        <v>1077</v>
      </c>
      <c r="C1595" s="205" t="s">
        <v>1090</v>
      </c>
      <c r="D1595" s="202" t="s">
        <v>1093</v>
      </c>
      <c r="E1595" s="202"/>
      <c r="F1595" s="202"/>
      <c r="G1595" s="222"/>
      <c r="H1595" s="206">
        <v>0</v>
      </c>
      <c r="I1595" s="210"/>
      <c r="J1595" s="199" t="s">
        <v>188</v>
      </c>
    </row>
    <row r="1596" spans="1:9" s="247" customFormat="1" ht="15" hidden="1" outlineLevel="1">
      <c r="A1596" s="231"/>
      <c r="B1596" s="204"/>
      <c r="C1596" s="204"/>
      <c r="D1596" s="203"/>
      <c r="E1596" s="203"/>
      <c r="F1596" s="203"/>
      <c r="G1596" s="207" t="s">
        <v>1099</v>
      </c>
      <c r="H1596" s="208">
        <f>SUM(H1595)</f>
        <v>0</v>
      </c>
      <c r="I1596" s="210"/>
    </row>
    <row r="1597" spans="1:9" s="247" customFormat="1" ht="15" hidden="1" outlineLevel="1">
      <c r="A1597" s="251"/>
      <c r="B1597" s="204"/>
      <c r="C1597" s="204"/>
      <c r="D1597" s="203"/>
      <c r="E1597" s="203"/>
      <c r="F1597" s="203"/>
      <c r="G1597" s="207"/>
      <c r="H1597" s="208"/>
      <c r="I1597" s="210"/>
    </row>
    <row r="1598" spans="1:10" s="247" customFormat="1" ht="15" hidden="1" outlineLevel="1">
      <c r="A1598" s="234">
        <v>42370</v>
      </c>
      <c r="B1598" s="205" t="s">
        <v>1077</v>
      </c>
      <c r="C1598" s="205" t="s">
        <v>1204</v>
      </c>
      <c r="D1598" s="202" t="s">
        <v>1205</v>
      </c>
      <c r="E1598" s="202"/>
      <c r="F1598" s="202"/>
      <c r="G1598" s="222"/>
      <c r="H1598" s="206">
        <v>0</v>
      </c>
      <c r="I1598" s="210"/>
      <c r="J1598" s="199" t="s">
        <v>188</v>
      </c>
    </row>
    <row r="1599" spans="1:9" s="247" customFormat="1" ht="15" hidden="1" outlineLevel="1">
      <c r="A1599" s="231"/>
      <c r="B1599" s="204"/>
      <c r="C1599" s="204"/>
      <c r="D1599" s="203"/>
      <c r="E1599" s="203"/>
      <c r="F1599" s="203"/>
      <c r="G1599" s="207" t="s">
        <v>1080</v>
      </c>
      <c r="H1599" s="208">
        <f>SUM(H1598)</f>
        <v>0</v>
      </c>
      <c r="I1599" s="210"/>
    </row>
    <row r="1600" spans="1:9" s="173" customFormat="1" ht="15" collapsed="1">
      <c r="A1600" s="174"/>
      <c r="B1600" s="175"/>
      <c r="C1600" s="175"/>
      <c r="D1600" s="176"/>
      <c r="E1600" s="176"/>
      <c r="F1600" s="176"/>
      <c r="G1600" s="201"/>
      <c r="H1600" s="177"/>
      <c r="I1600" s="172"/>
    </row>
    <row r="1601" spans="1:9" s="2" customFormat="1" ht="15">
      <c r="A1601" s="188"/>
      <c r="B1601" s="189"/>
      <c r="C1601" s="189"/>
      <c r="D1601" s="190"/>
      <c r="E1601" s="190"/>
      <c r="F1601" s="190"/>
      <c r="G1601" s="195" t="s">
        <v>1094</v>
      </c>
      <c r="H1601" s="278">
        <f>H1593+H1596+H1599</f>
        <v>-4264000</v>
      </c>
      <c r="I1601" s="187"/>
    </row>
    <row r="1602" spans="1:9" s="2" customFormat="1" ht="15">
      <c r="A1602" s="188"/>
      <c r="B1602" s="189"/>
      <c r="C1602" s="189"/>
      <c r="D1602" s="190"/>
      <c r="E1602" s="190"/>
      <c r="F1602" s="190"/>
      <c r="G1602" s="195"/>
      <c r="H1602" s="278"/>
      <c r="I1602" s="187"/>
    </row>
    <row r="1603" spans="1:10" s="173" customFormat="1" ht="15">
      <c r="A1603" s="168">
        <v>42736</v>
      </c>
      <c r="B1603" s="169" t="s">
        <v>1078</v>
      </c>
      <c r="C1603" s="169" t="s">
        <v>1194</v>
      </c>
      <c r="D1603" s="170" t="s">
        <v>1199</v>
      </c>
      <c r="E1603" s="170"/>
      <c r="F1603" s="170"/>
      <c r="G1603" s="185"/>
      <c r="H1603" s="171">
        <v>-5311000</v>
      </c>
      <c r="I1603" s="172"/>
      <c r="J1603" s="2" t="s">
        <v>188</v>
      </c>
    </row>
    <row r="1604" spans="1:9" s="173" customFormat="1" ht="15">
      <c r="A1604" s="174"/>
      <c r="B1604" s="175"/>
      <c r="C1604" s="175"/>
      <c r="D1604" s="176"/>
      <c r="E1604" s="176"/>
      <c r="F1604" s="176"/>
      <c r="G1604" s="201" t="s">
        <v>1196</v>
      </c>
      <c r="H1604" s="177">
        <f>SUM(H1603)</f>
        <v>-5311000</v>
      </c>
      <c r="I1604" s="172"/>
    </row>
    <row r="1605" spans="1:9" s="199" customFormat="1" ht="15" hidden="1" outlineLevel="1">
      <c r="A1605" s="217"/>
      <c r="B1605" s="240"/>
      <c r="C1605" s="240"/>
      <c r="D1605" s="226"/>
      <c r="E1605" s="226"/>
      <c r="F1605" s="226"/>
      <c r="G1605" s="242"/>
      <c r="H1605" s="254"/>
      <c r="I1605" s="230"/>
    </row>
    <row r="1606" spans="1:10" s="247" customFormat="1" ht="15" hidden="1" outlineLevel="1">
      <c r="A1606" s="234">
        <v>42370</v>
      </c>
      <c r="B1606" s="205" t="s">
        <v>1078</v>
      </c>
      <c r="C1606" s="205" t="s">
        <v>1090</v>
      </c>
      <c r="D1606" s="202" t="s">
        <v>1095</v>
      </c>
      <c r="E1606" s="202"/>
      <c r="F1606" s="202"/>
      <c r="G1606" s="222"/>
      <c r="H1606" s="206">
        <v>0</v>
      </c>
      <c r="I1606" s="210"/>
      <c r="J1606" s="199" t="s">
        <v>188</v>
      </c>
    </row>
    <row r="1607" spans="1:9" s="247" customFormat="1" ht="15" hidden="1" outlineLevel="1">
      <c r="A1607" s="231"/>
      <c r="B1607" s="204"/>
      <c r="C1607" s="204"/>
      <c r="D1607" s="203"/>
      <c r="E1607" s="203"/>
      <c r="F1607" s="203"/>
      <c r="G1607" s="207" t="s">
        <v>1099</v>
      </c>
      <c r="H1607" s="208">
        <f>SUM(H1606)</f>
        <v>0</v>
      </c>
      <c r="I1607" s="210"/>
    </row>
    <row r="1608" spans="1:9" s="247" customFormat="1" ht="15" hidden="1" outlineLevel="1">
      <c r="A1608" s="231"/>
      <c r="B1608" s="204"/>
      <c r="C1608" s="204"/>
      <c r="D1608" s="203"/>
      <c r="E1608" s="203"/>
      <c r="F1608" s="203"/>
      <c r="G1608" s="207"/>
      <c r="H1608" s="208"/>
      <c r="I1608" s="210"/>
    </row>
    <row r="1609" spans="1:10" s="247" customFormat="1" ht="15" hidden="1" outlineLevel="1">
      <c r="A1609" s="234">
        <v>42370</v>
      </c>
      <c r="B1609" s="205" t="s">
        <v>1078</v>
      </c>
      <c r="C1609" s="205" t="s">
        <v>1052</v>
      </c>
      <c r="D1609" s="202" t="s">
        <v>1079</v>
      </c>
      <c r="E1609" s="202"/>
      <c r="F1609" s="202"/>
      <c r="G1609" s="222"/>
      <c r="H1609" s="206">
        <v>0</v>
      </c>
      <c r="I1609" s="210"/>
      <c r="J1609" s="199" t="s">
        <v>188</v>
      </c>
    </row>
    <row r="1610" spans="1:9" s="247" customFormat="1" ht="15" hidden="1" outlineLevel="1">
      <c r="A1610" s="231"/>
      <c r="B1610" s="204"/>
      <c r="C1610" s="204"/>
      <c r="D1610" s="203"/>
      <c r="E1610" s="203"/>
      <c r="F1610" s="203"/>
      <c r="G1610" s="207" t="s">
        <v>1080</v>
      </c>
      <c r="H1610" s="208">
        <f>SUM(H1609)</f>
        <v>0</v>
      </c>
      <c r="I1610" s="210"/>
    </row>
    <row r="1611" spans="1:9" s="173" customFormat="1" ht="15" collapsed="1">
      <c r="A1611" s="174"/>
      <c r="B1611" s="175"/>
      <c r="C1611" s="175"/>
      <c r="D1611" s="176"/>
      <c r="E1611" s="176"/>
      <c r="F1611" s="176"/>
      <c r="G1611" s="201"/>
      <c r="H1611" s="177"/>
      <c r="I1611" s="172"/>
    </row>
    <row r="1612" spans="1:9" s="2" customFormat="1" ht="15">
      <c r="A1612" s="188"/>
      <c r="B1612" s="189"/>
      <c r="C1612" s="189"/>
      <c r="D1612" s="190"/>
      <c r="E1612" s="190"/>
      <c r="F1612" s="190"/>
      <c r="G1612" s="195" t="s">
        <v>1096</v>
      </c>
      <c r="H1612" s="278">
        <f>H1604+H1607+H1610</f>
        <v>-5311000</v>
      </c>
      <c r="I1612" s="187"/>
    </row>
    <row r="1613" spans="1:9" s="2" customFormat="1" ht="15">
      <c r="A1613" s="188"/>
      <c r="B1613" s="189"/>
      <c r="C1613" s="189"/>
      <c r="D1613" s="190"/>
      <c r="E1613" s="190"/>
      <c r="F1613" s="190"/>
      <c r="G1613" s="195"/>
      <c r="H1613" s="278"/>
      <c r="I1613" s="187"/>
    </row>
    <row r="1614" spans="1:10" s="173" customFormat="1" ht="15">
      <c r="A1614" s="168">
        <v>42736</v>
      </c>
      <c r="B1614" s="169" t="s">
        <v>1097</v>
      </c>
      <c r="C1614" s="169" t="s">
        <v>1194</v>
      </c>
      <c r="D1614" s="170" t="s">
        <v>1200</v>
      </c>
      <c r="E1614" s="170"/>
      <c r="F1614" s="170"/>
      <c r="G1614" s="185"/>
      <c r="H1614" s="171">
        <v>-1040000</v>
      </c>
      <c r="I1614" s="172"/>
      <c r="J1614" s="2" t="s">
        <v>188</v>
      </c>
    </row>
    <row r="1615" spans="1:9" s="173" customFormat="1" ht="15">
      <c r="A1615" s="174"/>
      <c r="B1615" s="175"/>
      <c r="C1615" s="175"/>
      <c r="D1615" s="176"/>
      <c r="E1615" s="176"/>
      <c r="F1615" s="176"/>
      <c r="G1615" s="201" t="s">
        <v>1201</v>
      </c>
      <c r="H1615" s="177">
        <f>SUM(H1614)</f>
        <v>-1040000</v>
      </c>
      <c r="I1615" s="172"/>
    </row>
    <row r="1616" spans="1:9" s="199" customFormat="1" ht="15" hidden="1" outlineLevel="1">
      <c r="A1616" s="217"/>
      <c r="B1616" s="240"/>
      <c r="C1616" s="240"/>
      <c r="D1616" s="226"/>
      <c r="E1616" s="226"/>
      <c r="F1616" s="226"/>
      <c r="G1616" s="242"/>
      <c r="H1616" s="254"/>
      <c r="I1616" s="230"/>
    </row>
    <row r="1617" spans="1:10" s="247" customFormat="1" ht="15" hidden="1" outlineLevel="1">
      <c r="A1617" s="234">
        <v>42370</v>
      </c>
      <c r="B1617" s="205" t="s">
        <v>1097</v>
      </c>
      <c r="C1617" s="205" t="s">
        <v>1090</v>
      </c>
      <c r="D1617" s="202" t="s">
        <v>1098</v>
      </c>
      <c r="E1617" s="202"/>
      <c r="F1617" s="202"/>
      <c r="G1617" s="222"/>
      <c r="H1617" s="206">
        <v>0</v>
      </c>
      <c r="I1617" s="210"/>
      <c r="J1617" s="199" t="s">
        <v>188</v>
      </c>
    </row>
    <row r="1618" spans="1:9" s="247" customFormat="1" ht="15" hidden="1" outlineLevel="1">
      <c r="A1618" s="231"/>
      <c r="B1618" s="204"/>
      <c r="C1618" s="204"/>
      <c r="D1618" s="203"/>
      <c r="E1618" s="203"/>
      <c r="F1618" s="203"/>
      <c r="G1618" s="207" t="s">
        <v>1099</v>
      </c>
      <c r="H1618" s="208">
        <f>SUM(H1617)</f>
        <v>0</v>
      </c>
      <c r="I1618" s="210"/>
    </row>
    <row r="1619" spans="1:9" s="247" customFormat="1" ht="15" hidden="1" outlineLevel="1">
      <c r="A1619" s="231"/>
      <c r="B1619" s="204"/>
      <c r="C1619" s="204"/>
      <c r="D1619" s="203"/>
      <c r="E1619" s="203"/>
      <c r="F1619" s="203"/>
      <c r="G1619" s="207"/>
      <c r="H1619" s="208"/>
      <c r="I1619" s="210"/>
    </row>
    <row r="1620" spans="1:10" s="247" customFormat="1" ht="15" hidden="1" outlineLevel="1">
      <c r="A1620" s="234">
        <v>42370</v>
      </c>
      <c r="B1620" s="205" t="s">
        <v>1097</v>
      </c>
      <c r="C1620" s="205" t="s">
        <v>1204</v>
      </c>
      <c r="D1620" s="202" t="s">
        <v>1206</v>
      </c>
      <c r="E1620" s="202"/>
      <c r="F1620" s="202"/>
      <c r="G1620" s="222"/>
      <c r="H1620" s="206">
        <v>0</v>
      </c>
      <c r="I1620" s="210"/>
      <c r="J1620" s="199" t="s">
        <v>188</v>
      </c>
    </row>
    <row r="1621" spans="1:9" s="247" customFormat="1" ht="15" hidden="1" outlineLevel="1">
      <c r="A1621" s="231"/>
      <c r="B1621" s="204"/>
      <c r="C1621" s="204"/>
      <c r="D1621" s="203"/>
      <c r="E1621" s="203"/>
      <c r="F1621" s="203"/>
      <c r="G1621" s="207" t="s">
        <v>1080</v>
      </c>
      <c r="H1621" s="208">
        <f>SUM(H1620)</f>
        <v>0</v>
      </c>
      <c r="I1621" s="210"/>
    </row>
    <row r="1622" spans="1:9" s="173" customFormat="1" ht="15" collapsed="1">
      <c r="A1622" s="174"/>
      <c r="B1622" s="175"/>
      <c r="C1622" s="175"/>
      <c r="D1622" s="176"/>
      <c r="E1622" s="176"/>
      <c r="F1622" s="176"/>
      <c r="G1622" s="201"/>
      <c r="H1622" s="177"/>
      <c r="I1622" s="172"/>
    </row>
    <row r="1623" spans="1:9" s="2" customFormat="1" ht="15">
      <c r="A1623" s="188"/>
      <c r="B1623" s="189"/>
      <c r="C1623" s="189"/>
      <c r="D1623" s="190"/>
      <c r="E1623" s="190"/>
      <c r="F1623" s="190"/>
      <c r="G1623" s="195" t="s">
        <v>701</v>
      </c>
      <c r="H1623" s="278">
        <f>H1615+H1618+H1621</f>
        <v>-1040000</v>
      </c>
      <c r="I1623" s="187"/>
    </row>
    <row r="1624" spans="1:9" s="173" customFormat="1" ht="15">
      <c r="A1624" s="174"/>
      <c r="B1624" s="175"/>
      <c r="C1624" s="175"/>
      <c r="D1624" s="176"/>
      <c r="E1624" s="176"/>
      <c r="F1624" s="176"/>
      <c r="G1624" s="201"/>
      <c r="H1624" s="177"/>
      <c r="I1624" s="172"/>
    </row>
    <row r="1625" spans="1:10" s="173" customFormat="1" ht="15">
      <c r="A1625" s="168">
        <v>42736</v>
      </c>
      <c r="B1625" s="169" t="s">
        <v>1081</v>
      </c>
      <c r="C1625" s="169" t="s">
        <v>1194</v>
      </c>
      <c r="D1625" s="170" t="s">
        <v>1674</v>
      </c>
      <c r="E1625" s="170"/>
      <c r="F1625" s="170"/>
      <c r="G1625" s="185"/>
      <c r="H1625" s="171">
        <v>-660000</v>
      </c>
      <c r="I1625" s="172"/>
      <c r="J1625" s="2" t="s">
        <v>188</v>
      </c>
    </row>
    <row r="1626" spans="1:9" s="173" customFormat="1" ht="15">
      <c r="A1626" s="174"/>
      <c r="B1626" s="175"/>
      <c r="C1626" s="175"/>
      <c r="D1626" s="176"/>
      <c r="E1626" s="176"/>
      <c r="F1626" s="176"/>
      <c r="G1626" s="201" t="s">
        <v>1675</v>
      </c>
      <c r="H1626" s="177">
        <f>SUM(H1625)</f>
        <v>-660000</v>
      </c>
      <c r="I1626" s="172"/>
    </row>
    <row r="1627" spans="1:9" s="173" customFormat="1" ht="15">
      <c r="A1627" s="174"/>
      <c r="B1627" s="175"/>
      <c r="C1627" s="175"/>
      <c r="D1627" s="176"/>
      <c r="E1627" s="176"/>
      <c r="F1627" s="176"/>
      <c r="G1627" s="201"/>
      <c r="H1627" s="177"/>
      <c r="I1627" s="172"/>
    </row>
    <row r="1628" spans="1:10" s="173" customFormat="1" ht="15">
      <c r="A1628" s="168">
        <v>42736</v>
      </c>
      <c r="B1628" s="169" t="s">
        <v>1081</v>
      </c>
      <c r="C1628" s="169" t="s">
        <v>1052</v>
      </c>
      <c r="D1628" s="170" t="s">
        <v>1678</v>
      </c>
      <c r="E1628" s="170"/>
      <c r="F1628" s="170"/>
      <c r="G1628" s="185"/>
      <c r="H1628" s="171">
        <v>-165000</v>
      </c>
      <c r="I1628" s="172"/>
      <c r="J1628" s="2" t="s">
        <v>188</v>
      </c>
    </row>
    <row r="1629" spans="1:9" s="173" customFormat="1" ht="15">
      <c r="A1629" s="174"/>
      <c r="B1629" s="175"/>
      <c r="C1629" s="175"/>
      <c r="D1629" s="176"/>
      <c r="E1629" s="176"/>
      <c r="F1629" s="176"/>
      <c r="G1629" s="201" t="s">
        <v>1677</v>
      </c>
      <c r="H1629" s="177">
        <f>SUM(H1628)</f>
        <v>-165000</v>
      </c>
      <c r="I1629" s="172"/>
    </row>
    <row r="1630" spans="1:9" s="173" customFormat="1" ht="15">
      <c r="A1630" s="174"/>
      <c r="B1630" s="175"/>
      <c r="C1630" s="175"/>
      <c r="D1630" s="176"/>
      <c r="E1630" s="176"/>
      <c r="F1630" s="176"/>
      <c r="G1630" s="201"/>
      <c r="H1630" s="177"/>
      <c r="I1630" s="172"/>
    </row>
    <row r="1631" spans="1:10" s="173" customFormat="1" ht="15">
      <c r="A1631" s="168">
        <v>42736</v>
      </c>
      <c r="B1631" s="169" t="s">
        <v>1081</v>
      </c>
      <c r="C1631" s="169" t="s">
        <v>399</v>
      </c>
      <c r="D1631" s="170" t="s">
        <v>1672</v>
      </c>
      <c r="E1631" s="170"/>
      <c r="F1631" s="170"/>
      <c r="G1631" s="185"/>
      <c r="H1631" s="171">
        <v>303707</v>
      </c>
      <c r="I1631" s="172"/>
      <c r="J1631" s="2" t="s">
        <v>188</v>
      </c>
    </row>
    <row r="1632" spans="1:9" s="173" customFormat="1" ht="15">
      <c r="A1632" s="174"/>
      <c r="B1632" s="175"/>
      <c r="C1632" s="175"/>
      <c r="D1632" s="176"/>
      <c r="E1632" s="176"/>
      <c r="F1632" s="176"/>
      <c r="G1632" s="201" t="s">
        <v>1673</v>
      </c>
      <c r="H1632" s="177">
        <f>SUM(H1631)</f>
        <v>303707</v>
      </c>
      <c r="I1632" s="172"/>
    </row>
    <row r="1633" spans="1:9" s="173" customFormat="1" ht="15">
      <c r="A1633" s="174"/>
      <c r="B1633" s="175"/>
      <c r="C1633" s="175"/>
      <c r="D1633" s="176"/>
      <c r="E1633" s="176"/>
      <c r="F1633" s="176"/>
      <c r="G1633" s="201"/>
      <c r="H1633" s="177"/>
      <c r="I1633" s="172"/>
    </row>
    <row r="1634" spans="1:9" s="173" customFormat="1" ht="15">
      <c r="A1634" s="174"/>
      <c r="B1634" s="175"/>
      <c r="C1634" s="175"/>
      <c r="D1634" s="176"/>
      <c r="E1634" s="176"/>
      <c r="F1634" s="176"/>
      <c r="G1634" s="195" t="s">
        <v>1676</v>
      </c>
      <c r="H1634" s="177">
        <f>H1626+H1629+H1632</f>
        <v>-521293</v>
      </c>
      <c r="I1634" s="172"/>
    </row>
    <row r="1635" spans="1:9" s="247" customFormat="1" ht="15" hidden="1" outlineLevel="1">
      <c r="A1635" s="231"/>
      <c r="B1635" s="204"/>
      <c r="C1635" s="204"/>
      <c r="D1635" s="203"/>
      <c r="E1635" s="203"/>
      <c r="F1635" s="203"/>
      <c r="G1635" s="207"/>
      <c r="H1635" s="208"/>
      <c r="I1635" s="210"/>
    </row>
    <row r="1636" spans="1:10" s="199" customFormat="1" ht="15" hidden="1" outlineLevel="1">
      <c r="A1636" s="217">
        <v>42886</v>
      </c>
      <c r="B1636" s="218"/>
      <c r="C1636" s="221"/>
      <c r="D1636" s="216" t="s">
        <v>1183</v>
      </c>
      <c r="E1636" s="216"/>
      <c r="F1636" s="216"/>
      <c r="G1636" s="207"/>
      <c r="H1636" s="208">
        <v>0</v>
      </c>
      <c r="I1636" s="216"/>
      <c r="J1636" s="199" t="s">
        <v>1184</v>
      </c>
    </row>
    <row r="1637" spans="1:9" s="199" customFormat="1" ht="15" hidden="1" outlineLevel="1">
      <c r="A1637" s="217"/>
      <c r="B1637" s="218"/>
      <c r="C1637" s="221"/>
      <c r="D1637" s="216"/>
      <c r="E1637" s="216"/>
      <c r="F1637" s="216"/>
      <c r="G1637" s="207"/>
      <c r="H1637" s="208"/>
      <c r="I1637" s="216"/>
    </row>
    <row r="1638" spans="1:10" s="199" customFormat="1" ht="15" hidden="1" outlineLevel="1">
      <c r="A1638" s="217">
        <v>42370</v>
      </c>
      <c r="B1638" s="218"/>
      <c r="C1638" s="221"/>
      <c r="D1638" s="216" t="s">
        <v>1185</v>
      </c>
      <c r="E1638" s="216"/>
      <c r="F1638" s="216"/>
      <c r="G1638" s="207"/>
      <c r="H1638" s="208">
        <v>0</v>
      </c>
      <c r="I1638" s="216"/>
      <c r="J1638" s="199" t="s">
        <v>145</v>
      </c>
    </row>
    <row r="1639" spans="1:9" s="173" customFormat="1" ht="15" collapsed="1">
      <c r="A1639" s="174"/>
      <c r="B1639" s="175"/>
      <c r="C1639" s="175"/>
      <c r="D1639" s="176"/>
      <c r="E1639" s="176"/>
      <c r="F1639" s="176"/>
      <c r="G1639" s="201"/>
      <c r="H1639" s="177"/>
      <c r="I1639" s="172"/>
    </row>
    <row r="1640" spans="1:9" s="173" customFormat="1" ht="15">
      <c r="A1640" s="174"/>
      <c r="B1640" s="175"/>
      <c r="C1640" s="175"/>
      <c r="D1640" s="176"/>
      <c r="E1640" s="176"/>
      <c r="F1640" s="176"/>
      <c r="G1640" s="201" t="s">
        <v>1067</v>
      </c>
      <c r="H1640" s="277">
        <f>H1590+H1601+H1612+H1623+H1634</f>
        <v>-5728293</v>
      </c>
      <c r="I1640" s="172"/>
    </row>
    <row r="1641" spans="1:9" s="173" customFormat="1" ht="15">
      <c r="A1641" s="174"/>
      <c r="B1641" s="175"/>
      <c r="C1641" s="175"/>
      <c r="D1641" s="176"/>
      <c r="E1641" s="176"/>
      <c r="F1641" s="176"/>
      <c r="G1641" s="201" t="s">
        <v>1067</v>
      </c>
      <c r="H1641" s="277">
        <f>H1640+H1636+H1638</f>
        <v>-5728293</v>
      </c>
      <c r="I1641" s="172"/>
    </row>
    <row r="1642" spans="1:9" s="173" customFormat="1" ht="15">
      <c r="A1642" s="174"/>
      <c r="B1642" s="175"/>
      <c r="C1642" s="175"/>
      <c r="D1642" s="176"/>
      <c r="E1642" s="176"/>
      <c r="F1642" s="176"/>
      <c r="G1642" s="201"/>
      <c r="H1642" s="277"/>
      <c r="I1642" s="172"/>
    </row>
    <row r="1643" spans="1:9" s="173" customFormat="1" ht="15">
      <c r="A1643" s="289" t="s">
        <v>1561</v>
      </c>
      <c r="B1643" s="175"/>
      <c r="C1643" s="175"/>
      <c r="D1643" s="176"/>
      <c r="E1643" s="176"/>
      <c r="F1643" s="176"/>
      <c r="G1643" s="201"/>
      <c r="H1643" s="277"/>
      <c r="I1643" s="172"/>
    </row>
    <row r="1644" spans="1:10" s="247" customFormat="1" ht="15" hidden="1" outlineLevel="1">
      <c r="A1644" s="234">
        <v>42866</v>
      </c>
      <c r="B1644" s="205" t="s">
        <v>1563</v>
      </c>
      <c r="C1644" s="205" t="s">
        <v>99</v>
      </c>
      <c r="D1644" s="202" t="s">
        <v>1564</v>
      </c>
      <c r="E1644" s="202"/>
      <c r="F1644" s="202"/>
      <c r="G1644" s="202"/>
      <c r="H1644" s="206">
        <v>0</v>
      </c>
      <c r="I1644" s="210" t="s">
        <v>1589</v>
      </c>
      <c r="J1644" s="200" t="s">
        <v>1568</v>
      </c>
    </row>
    <row r="1645" spans="1:9" s="173" customFormat="1" ht="15" collapsed="1">
      <c r="A1645" s="174"/>
      <c r="B1645" s="175"/>
      <c r="C1645" s="175"/>
      <c r="D1645" s="176"/>
      <c r="E1645" s="176"/>
      <c r="F1645" s="176"/>
      <c r="G1645" s="201" t="s">
        <v>1562</v>
      </c>
      <c r="H1645" s="277">
        <f>SUM(H1644:H1644)</f>
        <v>0</v>
      </c>
      <c r="I1645" s="172"/>
    </row>
    <row r="1646" spans="1:9" s="173" customFormat="1" ht="15">
      <c r="A1646" s="174"/>
      <c r="B1646" s="175"/>
      <c r="C1646" s="175"/>
      <c r="D1646" s="176"/>
      <c r="E1646" s="176"/>
      <c r="F1646" s="176"/>
      <c r="G1646" s="201"/>
      <c r="H1646" s="277"/>
      <c r="I1646" s="172"/>
    </row>
    <row r="1647" spans="1:9" s="173" customFormat="1" ht="15">
      <c r="A1647" s="290" t="s">
        <v>467</v>
      </c>
      <c r="B1647" s="175"/>
      <c r="C1647" s="175"/>
      <c r="D1647" s="176"/>
      <c r="E1647" s="176"/>
      <c r="F1647" s="176"/>
      <c r="G1647" s="201"/>
      <c r="H1647" s="177"/>
      <c r="I1647" s="172"/>
    </row>
    <row r="1648" spans="1:10" s="173" customFormat="1" ht="15" hidden="1" outlineLevel="1">
      <c r="A1648" s="168">
        <v>42152</v>
      </c>
      <c r="B1648" s="169" t="s">
        <v>468</v>
      </c>
      <c r="C1648" s="169" t="s">
        <v>475</v>
      </c>
      <c r="D1648" s="170" t="s">
        <v>492</v>
      </c>
      <c r="E1648" s="170"/>
      <c r="F1648" s="170"/>
      <c r="G1648" s="185"/>
      <c r="H1648" s="171">
        <v>0</v>
      </c>
      <c r="I1648" s="172"/>
      <c r="J1648" s="178" t="s">
        <v>463</v>
      </c>
    </row>
    <row r="1649" spans="1:9" s="173" customFormat="1" ht="15" hidden="1" outlineLevel="1">
      <c r="A1649" s="174"/>
      <c r="B1649" s="175"/>
      <c r="C1649" s="175"/>
      <c r="D1649" s="176"/>
      <c r="E1649" s="176"/>
      <c r="F1649" s="176"/>
      <c r="G1649" s="201" t="s">
        <v>469</v>
      </c>
      <c r="H1649" s="177">
        <f>SUM(H1648)</f>
        <v>0</v>
      </c>
      <c r="I1649" s="172"/>
    </row>
    <row r="1650" spans="1:9" s="173" customFormat="1" ht="15" hidden="1" outlineLevel="1">
      <c r="A1650" s="174"/>
      <c r="B1650" s="175"/>
      <c r="C1650" s="175"/>
      <c r="D1650" s="176"/>
      <c r="E1650" s="176"/>
      <c r="F1650" s="176"/>
      <c r="G1650" s="201"/>
      <c r="H1650" s="177"/>
      <c r="I1650" s="172"/>
    </row>
    <row r="1651" spans="1:10" s="173" customFormat="1" ht="15" hidden="1" outlineLevel="1">
      <c r="A1651" s="168">
        <v>42346</v>
      </c>
      <c r="B1651" s="169" t="s">
        <v>468</v>
      </c>
      <c r="C1651" s="169" t="s">
        <v>761</v>
      </c>
      <c r="D1651" s="170" t="s">
        <v>762</v>
      </c>
      <c r="E1651" s="170"/>
      <c r="F1651" s="170"/>
      <c r="G1651" s="185"/>
      <c r="H1651" s="171">
        <v>0</v>
      </c>
      <c r="I1651" s="172"/>
      <c r="J1651" s="178" t="s">
        <v>760</v>
      </c>
    </row>
    <row r="1652" spans="1:9" s="173" customFormat="1" ht="15" hidden="1" outlineLevel="1">
      <c r="A1652" s="174"/>
      <c r="B1652" s="175"/>
      <c r="C1652" s="175"/>
      <c r="D1652" s="176"/>
      <c r="E1652" s="176"/>
      <c r="F1652" s="176"/>
      <c r="G1652" s="201" t="s">
        <v>708</v>
      </c>
      <c r="H1652" s="177">
        <f>SUM(H1651:H1651)</f>
        <v>0</v>
      </c>
      <c r="I1652" s="172"/>
    </row>
    <row r="1653" spans="1:9" s="173" customFormat="1" ht="15" hidden="1" outlineLevel="1">
      <c r="A1653" s="174"/>
      <c r="B1653" s="175"/>
      <c r="C1653" s="175"/>
      <c r="D1653" s="176"/>
      <c r="E1653" s="176"/>
      <c r="F1653" s="176"/>
      <c r="G1653" s="201"/>
      <c r="H1653" s="177"/>
      <c r="I1653" s="172"/>
    </row>
    <row r="1654" spans="1:10" s="173" customFormat="1" ht="15" hidden="1" outlineLevel="1">
      <c r="A1654" s="168">
        <v>42370</v>
      </c>
      <c r="B1654" s="169" t="s">
        <v>1082</v>
      </c>
      <c r="C1654" s="169" t="s">
        <v>1052</v>
      </c>
      <c r="D1654" s="170" t="s">
        <v>1083</v>
      </c>
      <c r="E1654" s="170"/>
      <c r="F1654" s="170"/>
      <c r="G1654" s="185"/>
      <c r="H1654" s="171">
        <v>0</v>
      </c>
      <c r="I1654" s="172"/>
      <c r="J1654" s="2" t="s">
        <v>188</v>
      </c>
    </row>
    <row r="1655" spans="1:9" s="173" customFormat="1" ht="15" hidden="1" outlineLevel="1">
      <c r="A1655" s="174"/>
      <c r="B1655" s="175"/>
      <c r="C1655" s="175"/>
      <c r="D1655" s="176"/>
      <c r="E1655" s="176"/>
      <c r="F1655" s="176"/>
      <c r="G1655" s="201" t="s">
        <v>1084</v>
      </c>
      <c r="H1655" s="177">
        <f>SUM(H1654:H1654)</f>
        <v>0</v>
      </c>
      <c r="I1655" s="172"/>
    </row>
    <row r="1656" spans="1:9" s="173" customFormat="1" ht="15" collapsed="1">
      <c r="A1656" s="174"/>
      <c r="B1656" s="175"/>
      <c r="C1656" s="175"/>
      <c r="D1656" s="176"/>
      <c r="E1656" s="176"/>
      <c r="F1656" s="176"/>
      <c r="G1656" s="201"/>
      <c r="H1656" s="177"/>
      <c r="I1656" s="172"/>
    </row>
    <row r="1657" spans="1:9" s="173" customFormat="1" ht="15">
      <c r="A1657" s="174"/>
      <c r="B1657" s="175"/>
      <c r="C1657" s="175"/>
      <c r="D1657" s="176"/>
      <c r="E1657" s="176"/>
      <c r="F1657" s="176"/>
      <c r="G1657" s="201" t="s">
        <v>470</v>
      </c>
      <c r="H1657" s="277">
        <f>H1649+H1652+H1655</f>
        <v>0</v>
      </c>
      <c r="I1657" s="172"/>
    </row>
    <row r="1658" spans="1:9" s="173" customFormat="1" ht="15">
      <c r="A1658" s="174"/>
      <c r="B1658" s="175"/>
      <c r="C1658" s="175"/>
      <c r="D1658" s="176"/>
      <c r="E1658" s="176"/>
      <c r="F1658" s="176"/>
      <c r="G1658" s="201"/>
      <c r="H1658" s="177"/>
      <c r="I1658" s="172"/>
    </row>
    <row r="1659" spans="1:9" s="173" customFormat="1" ht="15">
      <c r="A1659" s="290" t="s">
        <v>421</v>
      </c>
      <c r="B1659" s="175"/>
      <c r="C1659" s="175"/>
      <c r="D1659" s="176"/>
      <c r="E1659" s="176"/>
      <c r="F1659" s="176"/>
      <c r="G1659" s="201"/>
      <c r="H1659" s="177"/>
      <c r="I1659" s="172"/>
    </row>
    <row r="1660" spans="1:10" s="247" customFormat="1" ht="15" hidden="1" outlineLevel="1">
      <c r="A1660" s="234">
        <v>42747</v>
      </c>
      <c r="B1660" s="205" t="s">
        <v>1556</v>
      </c>
      <c r="C1660" s="205" t="s">
        <v>1548</v>
      </c>
      <c r="D1660" s="202" t="s">
        <v>1557</v>
      </c>
      <c r="E1660" s="202"/>
      <c r="F1660" s="202"/>
      <c r="G1660" s="222"/>
      <c r="H1660" s="206">
        <v>0</v>
      </c>
      <c r="I1660" s="210"/>
      <c r="J1660" s="200" t="s">
        <v>1550</v>
      </c>
    </row>
    <row r="1661" spans="1:9" s="247" customFormat="1" ht="15" hidden="1" outlineLevel="1">
      <c r="A1661" s="231"/>
      <c r="B1661" s="204"/>
      <c r="C1661" s="204"/>
      <c r="D1661" s="203"/>
      <c r="E1661" s="203"/>
      <c r="F1661" s="203"/>
      <c r="G1661" s="207" t="s">
        <v>1558</v>
      </c>
      <c r="H1661" s="208">
        <f>SUM(H1660)</f>
        <v>0</v>
      </c>
      <c r="I1661" s="210"/>
    </row>
    <row r="1662" spans="1:9" s="247" customFormat="1" ht="15" hidden="1" outlineLevel="1">
      <c r="A1662" s="251"/>
      <c r="B1662" s="204"/>
      <c r="C1662" s="204"/>
      <c r="D1662" s="203"/>
      <c r="E1662" s="203"/>
      <c r="F1662" s="203"/>
      <c r="G1662" s="207"/>
      <c r="H1662" s="208"/>
      <c r="I1662" s="210"/>
    </row>
    <row r="1663" spans="1:10" s="200" customFormat="1" ht="15" hidden="1" outlineLevel="1">
      <c r="A1663" s="212">
        <v>42796</v>
      </c>
      <c r="B1663" s="213" t="s">
        <v>817</v>
      </c>
      <c r="C1663" s="213" t="s">
        <v>1524</v>
      </c>
      <c r="D1663" s="215" t="s">
        <v>1525</v>
      </c>
      <c r="E1663" s="215"/>
      <c r="F1663" s="215"/>
      <c r="G1663" s="255"/>
      <c r="H1663" s="239">
        <v>0</v>
      </c>
      <c r="I1663" s="210" t="s">
        <v>1518</v>
      </c>
      <c r="J1663" s="247" t="s">
        <v>103</v>
      </c>
    </row>
    <row r="1664" spans="1:9" s="200" customFormat="1" ht="15" hidden="1" outlineLevel="1">
      <c r="A1664" s="225"/>
      <c r="B1664" s="218"/>
      <c r="C1664" s="218"/>
      <c r="D1664" s="216"/>
      <c r="E1664" s="216"/>
      <c r="F1664" s="216"/>
      <c r="G1664" s="257" t="s">
        <v>1526</v>
      </c>
      <c r="H1664" s="245">
        <f>H1663</f>
        <v>0</v>
      </c>
      <c r="I1664" s="253"/>
    </row>
    <row r="1665" spans="1:9" s="200" customFormat="1" ht="15" hidden="1" outlineLevel="1">
      <c r="A1665" s="225"/>
      <c r="B1665" s="218"/>
      <c r="C1665" s="218"/>
      <c r="D1665" s="216"/>
      <c r="E1665" s="216"/>
      <c r="F1665" s="216"/>
      <c r="G1665" s="252"/>
      <c r="H1665" s="245"/>
      <c r="I1665" s="253"/>
    </row>
    <row r="1666" spans="1:9" s="200" customFormat="1" ht="15" hidden="1" outlineLevel="1">
      <c r="A1666" s="225"/>
      <c r="B1666" s="218"/>
      <c r="C1666" s="218"/>
      <c r="D1666" s="216"/>
      <c r="E1666" s="216"/>
      <c r="F1666" s="216"/>
      <c r="G1666" s="252"/>
      <c r="H1666" s="245"/>
      <c r="I1666" s="253"/>
    </row>
    <row r="1667" spans="1:10" s="247" customFormat="1" ht="15" hidden="1" outlineLevel="1">
      <c r="A1667" s="234">
        <v>42346</v>
      </c>
      <c r="B1667" s="205" t="s">
        <v>817</v>
      </c>
      <c r="C1667" s="205" t="s">
        <v>72</v>
      </c>
      <c r="D1667" s="202" t="s">
        <v>818</v>
      </c>
      <c r="E1667" s="202"/>
      <c r="F1667" s="202"/>
      <c r="G1667" s="222"/>
      <c r="H1667" s="206">
        <v>0</v>
      </c>
      <c r="I1667" s="210"/>
      <c r="J1667" s="199" t="s">
        <v>155</v>
      </c>
    </row>
    <row r="1668" spans="1:9" s="247" customFormat="1" ht="15" hidden="1" outlineLevel="1">
      <c r="A1668" s="231"/>
      <c r="B1668" s="204"/>
      <c r="C1668" s="204"/>
      <c r="D1668" s="203"/>
      <c r="E1668" s="203"/>
      <c r="F1668" s="203"/>
      <c r="G1668" s="207" t="s">
        <v>819</v>
      </c>
      <c r="H1668" s="208">
        <f>SUM(H1667)</f>
        <v>0</v>
      </c>
      <c r="I1668" s="210"/>
    </row>
    <row r="1669" spans="1:9" s="173" customFormat="1" ht="15" collapsed="1">
      <c r="A1669" s="174"/>
      <c r="B1669" s="175"/>
      <c r="C1669" s="175"/>
      <c r="D1669" s="176"/>
      <c r="E1669" s="176"/>
      <c r="F1669" s="176"/>
      <c r="G1669" s="201"/>
      <c r="H1669" s="177"/>
      <c r="I1669" s="172"/>
    </row>
    <row r="1670" spans="1:10" s="173" customFormat="1" ht="15">
      <c r="A1670" s="168">
        <v>42736</v>
      </c>
      <c r="B1670" s="169" t="s">
        <v>817</v>
      </c>
      <c r="C1670" s="169" t="s">
        <v>1640</v>
      </c>
      <c r="D1670" s="170" t="s">
        <v>1679</v>
      </c>
      <c r="E1670" s="170"/>
      <c r="F1670" s="170"/>
      <c r="G1670" s="185"/>
      <c r="H1670" s="171">
        <v>-212000</v>
      </c>
      <c r="I1670" s="172"/>
      <c r="J1670" s="178" t="s">
        <v>188</v>
      </c>
    </row>
    <row r="1671" spans="1:9" s="173" customFormat="1" ht="15">
      <c r="A1671" s="174"/>
      <c r="B1671" s="175"/>
      <c r="C1671" s="175"/>
      <c r="D1671" s="176"/>
      <c r="E1671" s="176"/>
      <c r="F1671" s="176"/>
      <c r="G1671" s="201" t="s">
        <v>1346</v>
      </c>
      <c r="H1671" s="177">
        <f>SUM(H1670)</f>
        <v>-212000</v>
      </c>
      <c r="I1671" s="172"/>
    </row>
    <row r="1672" spans="1:9" s="173" customFormat="1" ht="15">
      <c r="A1672" s="174"/>
      <c r="B1672" s="175"/>
      <c r="C1672" s="175"/>
      <c r="D1672" s="176"/>
      <c r="E1672" s="176"/>
      <c r="F1672" s="176"/>
      <c r="G1672" s="201"/>
      <c r="H1672" s="177"/>
      <c r="I1672" s="172"/>
    </row>
    <row r="1673" spans="1:9" s="173" customFormat="1" ht="15">
      <c r="A1673" s="174"/>
      <c r="B1673" s="175"/>
      <c r="C1673" s="175"/>
      <c r="D1673" s="176"/>
      <c r="E1673" s="176"/>
      <c r="F1673" s="176"/>
      <c r="G1673" s="195" t="s">
        <v>1347</v>
      </c>
      <c r="H1673" s="177">
        <f>H1664+H1668+H1671</f>
        <v>-212000</v>
      </c>
      <c r="I1673" s="172"/>
    </row>
    <row r="1674" spans="1:9" s="247" customFormat="1" ht="15" hidden="1" outlineLevel="1">
      <c r="A1674" s="231"/>
      <c r="B1674" s="204"/>
      <c r="C1674" s="204"/>
      <c r="D1674" s="203"/>
      <c r="E1674" s="203"/>
      <c r="F1674" s="203"/>
      <c r="G1674" s="242"/>
      <c r="H1674" s="208"/>
      <c r="I1674" s="210"/>
    </row>
    <row r="1675" spans="1:10" s="247" customFormat="1" ht="15" hidden="1" outlineLevel="1">
      <c r="A1675" s="234">
        <v>42747</v>
      </c>
      <c r="B1675" s="205" t="s">
        <v>1547</v>
      </c>
      <c r="C1675" s="205" t="s">
        <v>1548</v>
      </c>
      <c r="D1675" s="202" t="s">
        <v>1549</v>
      </c>
      <c r="E1675" s="202"/>
      <c r="F1675" s="202"/>
      <c r="G1675" s="222"/>
      <c r="H1675" s="206">
        <v>0</v>
      </c>
      <c r="I1675" s="210"/>
      <c r="J1675" s="200" t="s">
        <v>1550</v>
      </c>
    </row>
    <row r="1676" spans="1:9" s="247" customFormat="1" ht="15" hidden="1" outlineLevel="1">
      <c r="A1676" s="231"/>
      <c r="B1676" s="204"/>
      <c r="C1676" s="204"/>
      <c r="D1676" s="203"/>
      <c r="E1676" s="203"/>
      <c r="F1676" s="203"/>
      <c r="G1676" s="207" t="s">
        <v>1551</v>
      </c>
      <c r="H1676" s="208">
        <f>SUM(H1675)</f>
        <v>0</v>
      </c>
      <c r="I1676" s="210"/>
    </row>
    <row r="1677" spans="1:9" s="247" customFormat="1" ht="15" hidden="1" outlineLevel="1">
      <c r="A1677" s="231"/>
      <c r="B1677" s="204"/>
      <c r="C1677" s="204"/>
      <c r="D1677" s="203"/>
      <c r="E1677" s="203"/>
      <c r="F1677" s="203"/>
      <c r="G1677" s="207"/>
      <c r="H1677" s="208"/>
      <c r="I1677" s="210"/>
    </row>
    <row r="1678" spans="1:10" s="247" customFormat="1" ht="15" hidden="1" outlineLevel="1">
      <c r="A1678" s="234">
        <v>42521</v>
      </c>
      <c r="B1678" s="205" t="s">
        <v>710</v>
      </c>
      <c r="C1678" s="205" t="s">
        <v>1315</v>
      </c>
      <c r="D1678" s="202" t="s">
        <v>1316</v>
      </c>
      <c r="E1678" s="202"/>
      <c r="F1678" s="202"/>
      <c r="G1678" s="222"/>
      <c r="H1678" s="206">
        <v>0</v>
      </c>
      <c r="I1678" s="210"/>
      <c r="J1678" s="200" t="s">
        <v>1271</v>
      </c>
    </row>
    <row r="1679" spans="1:9" s="247" customFormat="1" ht="15" hidden="1" outlineLevel="1">
      <c r="A1679" s="231"/>
      <c r="B1679" s="204"/>
      <c r="C1679" s="204"/>
      <c r="D1679" s="203"/>
      <c r="E1679" s="203"/>
      <c r="F1679" s="203"/>
      <c r="G1679" s="207" t="s">
        <v>1317</v>
      </c>
      <c r="H1679" s="208">
        <f>SUM(H1678)</f>
        <v>0</v>
      </c>
      <c r="I1679" s="210"/>
    </row>
    <row r="1680" spans="1:9" s="247" customFormat="1" ht="15" hidden="1" outlineLevel="1">
      <c r="A1680" s="251"/>
      <c r="B1680" s="204"/>
      <c r="C1680" s="204"/>
      <c r="D1680" s="203"/>
      <c r="E1680" s="203"/>
      <c r="F1680" s="203"/>
      <c r="G1680" s="207"/>
      <c r="H1680" s="208"/>
      <c r="I1680" s="210"/>
    </row>
    <row r="1681" spans="1:10" s="247" customFormat="1" ht="15" hidden="1" outlineLevel="1">
      <c r="A1681" s="231">
        <v>42747</v>
      </c>
      <c r="B1681" s="204" t="s">
        <v>710</v>
      </c>
      <c r="C1681" s="204" t="s">
        <v>1548</v>
      </c>
      <c r="D1681" s="203" t="s">
        <v>1554</v>
      </c>
      <c r="E1681" s="203"/>
      <c r="F1681" s="203"/>
      <c r="G1681" s="207"/>
      <c r="H1681" s="208">
        <v>0</v>
      </c>
      <c r="I1681" s="210"/>
      <c r="J1681" s="200" t="s">
        <v>1550</v>
      </c>
    </row>
    <row r="1682" spans="1:10" s="247" customFormat="1" ht="15" hidden="1" outlineLevel="1">
      <c r="A1682" s="234">
        <v>42802</v>
      </c>
      <c r="B1682" s="205" t="s">
        <v>710</v>
      </c>
      <c r="C1682" s="205" t="s">
        <v>78</v>
      </c>
      <c r="D1682" s="202" t="s">
        <v>1575</v>
      </c>
      <c r="E1682" s="202"/>
      <c r="F1682" s="202"/>
      <c r="G1682" s="222"/>
      <c r="H1682" s="206">
        <v>0</v>
      </c>
      <c r="I1682" s="210"/>
      <c r="J1682" s="200" t="s">
        <v>1573</v>
      </c>
    </row>
    <row r="1683" spans="1:10" s="247" customFormat="1" ht="15" hidden="1" outlineLevel="1">
      <c r="A1683" s="231"/>
      <c r="B1683" s="204"/>
      <c r="C1683" s="204"/>
      <c r="D1683" s="203"/>
      <c r="E1683" s="203"/>
      <c r="F1683" s="203"/>
      <c r="G1683" s="207" t="s">
        <v>711</v>
      </c>
      <c r="H1683" s="208">
        <f>SUM(H1681:H1682)</f>
        <v>0</v>
      </c>
      <c r="I1683" s="210"/>
      <c r="J1683" s="200" t="s">
        <v>1</v>
      </c>
    </row>
    <row r="1684" spans="1:9" s="247" customFormat="1" ht="15" hidden="1" outlineLevel="1">
      <c r="A1684" s="231"/>
      <c r="B1684" s="204"/>
      <c r="C1684" s="204"/>
      <c r="D1684" s="203"/>
      <c r="E1684" s="203"/>
      <c r="F1684" s="203"/>
      <c r="G1684" s="207"/>
      <c r="H1684" s="208"/>
      <c r="I1684" s="210"/>
    </row>
    <row r="1685" spans="1:9" s="247" customFormat="1" ht="15" hidden="1" outlineLevel="1">
      <c r="A1685" s="231"/>
      <c r="B1685" s="204"/>
      <c r="C1685" s="204"/>
      <c r="D1685" s="203"/>
      <c r="E1685" s="203"/>
      <c r="F1685" s="203"/>
      <c r="G1685" s="242" t="s">
        <v>1318</v>
      </c>
      <c r="H1685" s="208">
        <f>H1679+H1683</f>
        <v>0</v>
      </c>
      <c r="I1685" s="210"/>
    </row>
    <row r="1686" spans="1:9" s="247" customFormat="1" ht="15" hidden="1" outlineLevel="1">
      <c r="A1686" s="231"/>
      <c r="B1686" s="204"/>
      <c r="C1686" s="204"/>
      <c r="D1686" s="203"/>
      <c r="E1686" s="203"/>
      <c r="F1686" s="203"/>
      <c r="G1686" s="242"/>
      <c r="H1686" s="208"/>
      <c r="I1686" s="210"/>
    </row>
    <row r="1687" spans="1:10" s="247" customFormat="1" ht="15" hidden="1" outlineLevel="1">
      <c r="A1687" s="234">
        <v>42794</v>
      </c>
      <c r="B1687" s="205" t="s">
        <v>1571</v>
      </c>
      <c r="C1687" s="205" t="s">
        <v>1315</v>
      </c>
      <c r="D1687" s="202" t="s">
        <v>1572</v>
      </c>
      <c r="E1687" s="202"/>
      <c r="F1687" s="202"/>
      <c r="G1687" s="222"/>
      <c r="H1687" s="206">
        <v>0</v>
      </c>
      <c r="I1687" s="210"/>
      <c r="J1687" s="200" t="s">
        <v>1573</v>
      </c>
    </row>
    <row r="1688" spans="1:9" s="247" customFormat="1" ht="15" hidden="1" outlineLevel="1">
      <c r="A1688" s="231"/>
      <c r="B1688" s="204"/>
      <c r="C1688" s="204"/>
      <c r="D1688" s="203"/>
      <c r="E1688" s="203"/>
      <c r="F1688" s="203"/>
      <c r="G1688" s="207" t="s">
        <v>1574</v>
      </c>
      <c r="H1688" s="208">
        <f>SUM(H1687)</f>
        <v>0</v>
      </c>
      <c r="I1688" s="210"/>
    </row>
    <row r="1689" spans="1:9" s="247" customFormat="1" ht="15" hidden="1" outlineLevel="1">
      <c r="A1689" s="231"/>
      <c r="B1689" s="204"/>
      <c r="C1689" s="204"/>
      <c r="D1689" s="203"/>
      <c r="E1689" s="203"/>
      <c r="F1689" s="203"/>
      <c r="G1689" s="207"/>
      <c r="H1689" s="208"/>
      <c r="I1689" s="210"/>
    </row>
    <row r="1690" spans="1:10" s="247" customFormat="1" ht="15" hidden="1" outlineLevel="1">
      <c r="A1690" s="234">
        <v>42794</v>
      </c>
      <c r="B1690" s="205" t="s">
        <v>1571</v>
      </c>
      <c r="C1690" s="205" t="s">
        <v>78</v>
      </c>
      <c r="D1690" s="202" t="s">
        <v>1572</v>
      </c>
      <c r="E1690" s="202"/>
      <c r="F1690" s="202"/>
      <c r="G1690" s="222"/>
      <c r="H1690" s="206">
        <v>0</v>
      </c>
      <c r="I1690" s="210"/>
      <c r="J1690" s="200" t="s">
        <v>1573</v>
      </c>
    </row>
    <row r="1691" spans="1:9" s="247" customFormat="1" ht="15" hidden="1" outlineLevel="1">
      <c r="A1691" s="231"/>
      <c r="B1691" s="204"/>
      <c r="C1691" s="204"/>
      <c r="D1691" s="203"/>
      <c r="E1691" s="203"/>
      <c r="F1691" s="203"/>
      <c r="G1691" s="207" t="s">
        <v>1590</v>
      </c>
      <c r="H1691" s="208">
        <f>SUM(H1690)</f>
        <v>0</v>
      </c>
      <c r="I1691" s="210"/>
    </row>
    <row r="1692" spans="1:9" s="247" customFormat="1" ht="15" hidden="1" outlineLevel="1">
      <c r="A1692" s="231"/>
      <c r="B1692" s="204"/>
      <c r="C1692" s="204"/>
      <c r="D1692" s="203"/>
      <c r="E1692" s="203"/>
      <c r="F1692" s="203"/>
      <c r="G1692" s="207"/>
      <c r="H1692" s="208"/>
      <c r="I1692" s="210"/>
    </row>
    <row r="1693" spans="1:9" s="247" customFormat="1" ht="15" hidden="1" outlineLevel="1">
      <c r="A1693" s="231"/>
      <c r="B1693" s="204"/>
      <c r="C1693" s="204"/>
      <c r="D1693" s="203"/>
      <c r="E1693" s="203"/>
      <c r="F1693" s="203"/>
      <c r="G1693" s="242" t="s">
        <v>1591</v>
      </c>
      <c r="H1693" s="208">
        <f>H1688+H1691</f>
        <v>0</v>
      </c>
      <c r="I1693" s="210"/>
    </row>
    <row r="1694" spans="1:9" s="247" customFormat="1" ht="15" hidden="1" outlineLevel="1">
      <c r="A1694" s="231"/>
      <c r="B1694" s="204"/>
      <c r="C1694" s="204"/>
      <c r="D1694" s="203"/>
      <c r="E1694" s="203"/>
      <c r="F1694" s="203"/>
      <c r="G1694" s="242"/>
      <c r="H1694" s="208"/>
      <c r="I1694" s="210"/>
    </row>
    <row r="1695" spans="1:10" s="247" customFormat="1" ht="15" hidden="1" outlineLevel="1">
      <c r="A1695" s="234">
        <v>42717</v>
      </c>
      <c r="B1695" s="205" t="s">
        <v>1401</v>
      </c>
      <c r="C1695" s="205" t="s">
        <v>1396</v>
      </c>
      <c r="D1695" s="202" t="s">
        <v>1402</v>
      </c>
      <c r="E1695" s="202"/>
      <c r="F1695" s="202"/>
      <c r="G1695" s="222"/>
      <c r="H1695" s="206">
        <v>0</v>
      </c>
      <c r="I1695" s="210"/>
      <c r="J1695" s="200" t="s">
        <v>760</v>
      </c>
    </row>
    <row r="1696" spans="1:9" s="247" customFormat="1" ht="15" hidden="1" outlineLevel="1">
      <c r="A1696" s="231"/>
      <c r="B1696" s="204"/>
      <c r="C1696" s="204"/>
      <c r="D1696" s="203"/>
      <c r="E1696" s="203"/>
      <c r="F1696" s="203"/>
      <c r="G1696" s="207" t="s">
        <v>1403</v>
      </c>
      <c r="H1696" s="208">
        <f>SUM(H1695)</f>
        <v>0</v>
      </c>
      <c r="I1696" s="210"/>
    </row>
    <row r="1697" spans="1:9" s="247" customFormat="1" ht="15" hidden="1" outlineLevel="1">
      <c r="A1697" s="231"/>
      <c r="B1697" s="204"/>
      <c r="C1697" s="204"/>
      <c r="D1697" s="203"/>
      <c r="E1697" s="203"/>
      <c r="F1697" s="203"/>
      <c r="G1697" s="242"/>
      <c r="H1697" s="208"/>
      <c r="I1697" s="210"/>
    </row>
    <row r="1698" spans="1:10" s="247" customFormat="1" ht="15" hidden="1" outlineLevel="1">
      <c r="A1698" s="234">
        <v>42717</v>
      </c>
      <c r="B1698" s="205" t="s">
        <v>1401</v>
      </c>
      <c r="C1698" s="205" t="s">
        <v>72</v>
      </c>
      <c r="D1698" s="202" t="s">
        <v>1404</v>
      </c>
      <c r="E1698" s="202"/>
      <c r="F1698" s="202"/>
      <c r="G1698" s="222"/>
      <c r="H1698" s="206">
        <v>0</v>
      </c>
      <c r="I1698" s="210"/>
      <c r="J1698" s="200" t="s">
        <v>760</v>
      </c>
    </row>
    <row r="1699" spans="1:9" s="247" customFormat="1" ht="15" hidden="1" outlineLevel="1">
      <c r="A1699" s="231"/>
      <c r="B1699" s="204"/>
      <c r="C1699" s="204"/>
      <c r="D1699" s="203"/>
      <c r="E1699" s="203"/>
      <c r="F1699" s="203"/>
      <c r="G1699" s="207" t="s">
        <v>1405</v>
      </c>
      <c r="H1699" s="208">
        <f>SUM(H1698)</f>
        <v>0</v>
      </c>
      <c r="I1699" s="210"/>
    </row>
    <row r="1700" spans="1:9" s="247" customFormat="1" ht="15" hidden="1" outlineLevel="1">
      <c r="A1700" s="231"/>
      <c r="B1700" s="204"/>
      <c r="C1700" s="204"/>
      <c r="D1700" s="203"/>
      <c r="E1700" s="203"/>
      <c r="F1700" s="203"/>
      <c r="G1700" s="207"/>
      <c r="H1700" s="208"/>
      <c r="I1700" s="210"/>
    </row>
    <row r="1701" spans="1:10" s="247" customFormat="1" ht="15" hidden="1" outlineLevel="1">
      <c r="A1701" s="234">
        <v>42717</v>
      </c>
      <c r="B1701" s="205" t="s">
        <v>1401</v>
      </c>
      <c r="C1701" s="205" t="s">
        <v>1397</v>
      </c>
      <c r="D1701" s="202" t="s">
        <v>1406</v>
      </c>
      <c r="E1701" s="202"/>
      <c r="F1701" s="202"/>
      <c r="G1701" s="222"/>
      <c r="H1701" s="206">
        <v>0</v>
      </c>
      <c r="I1701" s="210"/>
      <c r="J1701" s="200" t="s">
        <v>760</v>
      </c>
    </row>
    <row r="1702" spans="1:9" s="247" customFormat="1" ht="15" hidden="1" outlineLevel="1">
      <c r="A1702" s="231"/>
      <c r="B1702" s="204"/>
      <c r="C1702" s="204"/>
      <c r="D1702" s="203"/>
      <c r="E1702" s="203"/>
      <c r="F1702" s="203"/>
      <c r="G1702" s="207" t="s">
        <v>1407</v>
      </c>
      <c r="H1702" s="208">
        <f>SUM(H1701)</f>
        <v>0</v>
      </c>
      <c r="I1702" s="210"/>
    </row>
    <row r="1703" spans="1:9" s="247" customFormat="1" ht="15" hidden="1" outlineLevel="1">
      <c r="A1703" s="231"/>
      <c r="B1703" s="204"/>
      <c r="C1703" s="204"/>
      <c r="D1703" s="203"/>
      <c r="E1703" s="203"/>
      <c r="F1703" s="203"/>
      <c r="G1703" s="207"/>
      <c r="H1703" s="208"/>
      <c r="I1703" s="210"/>
    </row>
    <row r="1704" spans="1:9" s="247" customFormat="1" ht="15" hidden="1" outlineLevel="1">
      <c r="A1704" s="231"/>
      <c r="B1704" s="204"/>
      <c r="C1704" s="204"/>
      <c r="D1704" s="203"/>
      <c r="E1704" s="203"/>
      <c r="F1704" s="203"/>
      <c r="G1704" s="242" t="s">
        <v>1408</v>
      </c>
      <c r="H1704" s="208">
        <f>H1696+H1699+H1702</f>
        <v>0</v>
      </c>
      <c r="I1704" s="210"/>
    </row>
    <row r="1705" spans="1:9" s="247" customFormat="1" ht="15" hidden="1" outlineLevel="1">
      <c r="A1705" s="231"/>
      <c r="B1705" s="204"/>
      <c r="C1705" s="204"/>
      <c r="D1705" s="203"/>
      <c r="E1705" s="203"/>
      <c r="F1705" s="203"/>
      <c r="G1705" s="242"/>
      <c r="H1705" s="208"/>
      <c r="I1705" s="210"/>
    </row>
    <row r="1706" spans="1:10" s="247" customFormat="1" ht="15" hidden="1" outlineLevel="1">
      <c r="A1706" s="234">
        <v>42747</v>
      </c>
      <c r="B1706" s="205" t="s">
        <v>1552</v>
      </c>
      <c r="C1706" s="205" t="s">
        <v>1548</v>
      </c>
      <c r="D1706" s="202" t="s">
        <v>1553</v>
      </c>
      <c r="E1706" s="202"/>
      <c r="F1706" s="202"/>
      <c r="G1706" s="222"/>
      <c r="H1706" s="206">
        <v>0</v>
      </c>
      <c r="I1706" s="210"/>
      <c r="J1706" s="200" t="s">
        <v>1550</v>
      </c>
    </row>
    <row r="1707" spans="1:9" s="247" customFormat="1" ht="15" hidden="1" outlineLevel="1">
      <c r="A1707" s="231"/>
      <c r="B1707" s="204"/>
      <c r="C1707" s="204"/>
      <c r="D1707" s="203"/>
      <c r="E1707" s="203"/>
      <c r="F1707" s="203"/>
      <c r="G1707" s="207" t="s">
        <v>1555</v>
      </c>
      <c r="H1707" s="208">
        <f>SUM(H1706)</f>
        <v>0</v>
      </c>
      <c r="I1707" s="210"/>
    </row>
    <row r="1708" spans="1:9" s="247" customFormat="1" ht="15" hidden="1" outlineLevel="1">
      <c r="A1708" s="231"/>
      <c r="B1708" s="204"/>
      <c r="C1708" s="204"/>
      <c r="D1708" s="203"/>
      <c r="E1708" s="203"/>
      <c r="F1708" s="203"/>
      <c r="G1708" s="242"/>
      <c r="H1708" s="208"/>
      <c r="I1708" s="210"/>
    </row>
    <row r="1709" spans="1:10" s="247" customFormat="1" ht="15" hidden="1" outlineLevel="1">
      <c r="A1709" s="234">
        <v>42717</v>
      </c>
      <c r="B1709" s="205" t="s">
        <v>1409</v>
      </c>
      <c r="C1709" s="205" t="s">
        <v>153</v>
      </c>
      <c r="D1709" s="202" t="s">
        <v>1410</v>
      </c>
      <c r="E1709" s="202"/>
      <c r="F1709" s="202"/>
      <c r="G1709" s="222"/>
      <c r="H1709" s="206">
        <v>0</v>
      </c>
      <c r="I1709" s="210"/>
      <c r="J1709" s="200" t="s">
        <v>760</v>
      </c>
    </row>
    <row r="1710" spans="1:9" s="247" customFormat="1" ht="15" hidden="1" outlineLevel="1">
      <c r="A1710" s="231"/>
      <c r="B1710" s="204"/>
      <c r="C1710" s="204"/>
      <c r="D1710" s="203"/>
      <c r="E1710" s="203"/>
      <c r="F1710" s="203"/>
      <c r="G1710" s="207" t="s">
        <v>1470</v>
      </c>
      <c r="H1710" s="208">
        <f>SUM(H1709)</f>
        <v>0</v>
      </c>
      <c r="I1710" s="210"/>
    </row>
    <row r="1711" spans="1:9" s="247" customFormat="1" ht="15" hidden="1" outlineLevel="1">
      <c r="A1711" s="231"/>
      <c r="B1711" s="204"/>
      <c r="C1711" s="204"/>
      <c r="D1711" s="203"/>
      <c r="E1711" s="203"/>
      <c r="F1711" s="203"/>
      <c r="G1711" s="242"/>
      <c r="H1711" s="208"/>
      <c r="I1711" s="210"/>
    </row>
    <row r="1712" spans="1:10" s="247" customFormat="1" ht="15" hidden="1" outlineLevel="1">
      <c r="A1712" s="231">
        <v>42717</v>
      </c>
      <c r="B1712" s="204" t="s">
        <v>1409</v>
      </c>
      <c r="C1712" s="204" t="s">
        <v>66</v>
      </c>
      <c r="D1712" s="203" t="s">
        <v>1411</v>
      </c>
      <c r="E1712" s="203"/>
      <c r="F1712" s="203"/>
      <c r="G1712" s="242"/>
      <c r="H1712" s="208">
        <v>0</v>
      </c>
      <c r="I1712" s="210"/>
      <c r="J1712" s="247" t="s">
        <v>760</v>
      </c>
    </row>
    <row r="1713" spans="1:10" s="247" customFormat="1" ht="15" hidden="1" outlineLevel="1">
      <c r="A1713" s="234">
        <v>42717</v>
      </c>
      <c r="B1713" s="205" t="s">
        <v>1409</v>
      </c>
      <c r="C1713" s="205" t="s">
        <v>87</v>
      </c>
      <c r="D1713" s="202" t="s">
        <v>1412</v>
      </c>
      <c r="E1713" s="202"/>
      <c r="F1713" s="202"/>
      <c r="G1713" s="222"/>
      <c r="H1713" s="206">
        <v>0</v>
      </c>
      <c r="I1713" s="210"/>
      <c r="J1713" s="200" t="s">
        <v>760</v>
      </c>
    </row>
    <row r="1714" spans="1:9" s="247" customFormat="1" ht="15" hidden="1" outlineLevel="1">
      <c r="A1714" s="231"/>
      <c r="B1714" s="204"/>
      <c r="C1714" s="204"/>
      <c r="D1714" s="203"/>
      <c r="E1714" s="203"/>
      <c r="F1714" s="203"/>
      <c r="G1714" s="207" t="s">
        <v>1471</v>
      </c>
      <c r="H1714" s="208">
        <f>SUM(H1712:H1713)</f>
        <v>0</v>
      </c>
      <c r="I1714" s="210"/>
    </row>
    <row r="1715" spans="1:9" s="247" customFormat="1" ht="15" hidden="1" outlineLevel="1">
      <c r="A1715" s="231"/>
      <c r="B1715" s="204"/>
      <c r="C1715" s="204"/>
      <c r="D1715" s="203"/>
      <c r="E1715" s="203"/>
      <c r="F1715" s="203"/>
      <c r="G1715" s="207"/>
      <c r="H1715" s="208"/>
      <c r="I1715" s="210"/>
    </row>
    <row r="1716" spans="1:9" s="247" customFormat="1" ht="15" hidden="1" outlineLevel="1">
      <c r="A1716" s="231"/>
      <c r="B1716" s="204"/>
      <c r="C1716" s="204"/>
      <c r="D1716" s="203"/>
      <c r="E1716" s="203"/>
      <c r="F1716" s="203"/>
      <c r="G1716" s="242" t="s">
        <v>1469</v>
      </c>
      <c r="H1716" s="208">
        <f>H1710+H1714</f>
        <v>0</v>
      </c>
      <c r="I1716" s="210"/>
    </row>
    <row r="1717" spans="1:9" s="247" customFormat="1" ht="15" hidden="1" outlineLevel="1">
      <c r="A1717" s="251"/>
      <c r="B1717" s="204"/>
      <c r="C1717" s="204"/>
      <c r="D1717" s="203"/>
      <c r="E1717" s="203"/>
      <c r="F1717" s="203"/>
      <c r="G1717" s="207"/>
      <c r="H1717" s="208"/>
      <c r="I1717" s="210"/>
    </row>
    <row r="1718" spans="1:10" s="247" customFormat="1" ht="15" hidden="1" outlineLevel="1">
      <c r="A1718" s="234">
        <v>42005</v>
      </c>
      <c r="B1718" s="205" t="s">
        <v>422</v>
      </c>
      <c r="C1718" s="205" t="s">
        <v>399</v>
      </c>
      <c r="D1718" s="202" t="s">
        <v>423</v>
      </c>
      <c r="E1718" s="202"/>
      <c r="F1718" s="202"/>
      <c r="G1718" s="222"/>
      <c r="H1718" s="206">
        <v>0</v>
      </c>
      <c r="I1718" s="210"/>
      <c r="J1718" s="200" t="s">
        <v>188</v>
      </c>
    </row>
    <row r="1719" spans="1:9" s="247" customFormat="1" ht="15" hidden="1" outlineLevel="1">
      <c r="A1719" s="231"/>
      <c r="B1719" s="204"/>
      <c r="C1719" s="204"/>
      <c r="D1719" s="203"/>
      <c r="E1719" s="203"/>
      <c r="F1719" s="203"/>
      <c r="G1719" s="207" t="s">
        <v>424</v>
      </c>
      <c r="H1719" s="208">
        <f>SUM(H1718)</f>
        <v>0</v>
      </c>
      <c r="I1719" s="210"/>
    </row>
    <row r="1720" spans="1:9" s="247" customFormat="1" ht="15" hidden="1" outlineLevel="1">
      <c r="A1720" s="231"/>
      <c r="B1720" s="204"/>
      <c r="C1720" s="204"/>
      <c r="D1720" s="203"/>
      <c r="E1720" s="203"/>
      <c r="F1720" s="203"/>
      <c r="G1720" s="207"/>
      <c r="H1720" s="208"/>
      <c r="I1720" s="210"/>
    </row>
    <row r="1721" spans="1:10" s="247" customFormat="1" ht="15" hidden="1" outlineLevel="1" collapsed="1">
      <c r="A1721" s="234">
        <v>42370</v>
      </c>
      <c r="B1721" s="205" t="s">
        <v>1400</v>
      </c>
      <c r="C1721" s="205" t="s">
        <v>1173</v>
      </c>
      <c r="D1721" s="202" t="s">
        <v>1181</v>
      </c>
      <c r="E1721" s="202"/>
      <c r="F1721" s="202"/>
      <c r="G1721" s="222"/>
      <c r="H1721" s="206">
        <v>0</v>
      </c>
      <c r="I1721" s="210"/>
      <c r="J1721" s="200" t="s">
        <v>760</v>
      </c>
    </row>
    <row r="1722" spans="1:9" s="247" customFormat="1" ht="15" hidden="1" outlineLevel="1">
      <c r="A1722" s="231"/>
      <c r="B1722" s="204"/>
      <c r="C1722" s="204"/>
      <c r="D1722" s="203"/>
      <c r="E1722" s="203"/>
      <c r="F1722" s="203"/>
      <c r="G1722" s="207" t="s">
        <v>716</v>
      </c>
      <c r="H1722" s="208">
        <f>SUM(H1721)</f>
        <v>0</v>
      </c>
      <c r="I1722" s="210"/>
    </row>
    <row r="1723" spans="1:9" s="247" customFormat="1" ht="15" hidden="1" outlineLevel="1">
      <c r="A1723" s="231"/>
      <c r="B1723" s="204"/>
      <c r="C1723" s="204"/>
      <c r="D1723" s="203"/>
      <c r="E1723" s="203"/>
      <c r="F1723" s="203"/>
      <c r="G1723" s="207"/>
      <c r="H1723" s="208"/>
      <c r="I1723" s="210"/>
    </row>
    <row r="1724" spans="1:10" s="199" customFormat="1" ht="15" hidden="1" outlineLevel="1">
      <c r="A1724" s="217">
        <v>42886</v>
      </c>
      <c r="B1724" s="218"/>
      <c r="C1724" s="221"/>
      <c r="D1724" s="216" t="s">
        <v>1183</v>
      </c>
      <c r="E1724" s="216"/>
      <c r="F1724" s="216"/>
      <c r="G1724" s="207"/>
      <c r="H1724" s="208">
        <v>0</v>
      </c>
      <c r="I1724" s="216"/>
      <c r="J1724" s="199" t="s">
        <v>1184</v>
      </c>
    </row>
    <row r="1725" spans="1:9" s="199" customFormat="1" ht="15" hidden="1" outlineLevel="1">
      <c r="A1725" s="217"/>
      <c r="B1725" s="218"/>
      <c r="C1725" s="221"/>
      <c r="D1725" s="216"/>
      <c r="E1725" s="216"/>
      <c r="F1725" s="216"/>
      <c r="G1725" s="207"/>
      <c r="H1725" s="208" t="s">
        <v>1</v>
      </c>
      <c r="I1725" s="216"/>
    </row>
    <row r="1726" spans="1:10" s="199" customFormat="1" ht="15" hidden="1" outlineLevel="1">
      <c r="A1726" s="217">
        <v>42370</v>
      </c>
      <c r="B1726" s="218"/>
      <c r="C1726" s="221"/>
      <c r="D1726" s="216" t="s">
        <v>1185</v>
      </c>
      <c r="E1726" s="216"/>
      <c r="F1726" s="216"/>
      <c r="G1726" s="207"/>
      <c r="H1726" s="208">
        <v>0</v>
      </c>
      <c r="I1726" s="216"/>
      <c r="J1726" s="199" t="s">
        <v>145</v>
      </c>
    </row>
    <row r="1727" spans="1:9" s="173" customFormat="1" ht="15" collapsed="1">
      <c r="A1727" s="174"/>
      <c r="B1727" s="175"/>
      <c r="C1727" s="175"/>
      <c r="D1727" s="176"/>
      <c r="E1727" s="176"/>
      <c r="F1727" s="176"/>
      <c r="G1727" s="201"/>
      <c r="H1727" s="177"/>
      <c r="I1727" s="172"/>
    </row>
    <row r="1728" spans="1:9" s="173" customFormat="1" ht="15">
      <c r="A1728" s="174"/>
      <c r="B1728" s="175"/>
      <c r="C1728" s="175"/>
      <c r="D1728" s="176"/>
      <c r="E1728" s="176"/>
      <c r="F1728" s="176"/>
      <c r="G1728" s="201" t="s">
        <v>425</v>
      </c>
      <c r="H1728" s="277">
        <f>H1661+H1673+H1676+H1685+H1693+H1704+H1707+H1716+H1719+H1722</f>
        <v>-212000</v>
      </c>
      <c r="I1728" s="172"/>
    </row>
    <row r="1729" spans="1:9" s="173" customFormat="1" ht="15">
      <c r="A1729" s="174"/>
      <c r="B1729" s="175"/>
      <c r="C1729" s="175"/>
      <c r="D1729" s="176"/>
      <c r="E1729" s="176"/>
      <c r="F1729" s="176"/>
      <c r="G1729" s="201" t="s">
        <v>425</v>
      </c>
      <c r="H1729" s="277">
        <f>H1728+H1724+H1726</f>
        <v>-212000</v>
      </c>
      <c r="I1729" s="172"/>
    </row>
    <row r="1730" spans="1:9" s="173" customFormat="1" ht="15">
      <c r="A1730" s="174"/>
      <c r="B1730" s="175"/>
      <c r="C1730" s="175"/>
      <c r="D1730" s="176"/>
      <c r="E1730" s="176"/>
      <c r="F1730" s="176"/>
      <c r="G1730" s="201"/>
      <c r="H1730" s="277"/>
      <c r="I1730" s="172"/>
    </row>
    <row r="1731" spans="1:9" s="173" customFormat="1" ht="15">
      <c r="A1731" s="289" t="s">
        <v>1514</v>
      </c>
      <c r="B1731" s="175"/>
      <c r="C1731" s="175"/>
      <c r="D1731" s="176"/>
      <c r="E1731" s="176"/>
      <c r="F1731" s="176"/>
      <c r="G1731" s="201"/>
      <c r="H1731" s="277"/>
      <c r="I1731" s="172"/>
    </row>
    <row r="1732" spans="1:10" s="247" customFormat="1" ht="15" hidden="1" outlineLevel="1">
      <c r="A1732" s="231">
        <v>42796</v>
      </c>
      <c r="B1732" s="204" t="s">
        <v>1515</v>
      </c>
      <c r="C1732" s="204" t="s">
        <v>1517</v>
      </c>
      <c r="D1732" s="203" t="s">
        <v>1516</v>
      </c>
      <c r="E1732" s="203"/>
      <c r="F1732" s="203"/>
      <c r="G1732" s="203"/>
      <c r="H1732" s="208">
        <v>0</v>
      </c>
      <c r="I1732" s="210" t="s">
        <v>1518</v>
      </c>
      <c r="J1732" s="247" t="s">
        <v>103</v>
      </c>
    </row>
    <row r="1733" spans="1:10" s="247" customFormat="1" ht="15" hidden="1" outlineLevel="1">
      <c r="A1733" s="231">
        <v>42796</v>
      </c>
      <c r="B1733" s="204" t="s">
        <v>1515</v>
      </c>
      <c r="C1733" s="204" t="s">
        <v>1527</v>
      </c>
      <c r="D1733" s="203" t="s">
        <v>1528</v>
      </c>
      <c r="E1733" s="203"/>
      <c r="F1733" s="203"/>
      <c r="G1733" s="203"/>
      <c r="H1733" s="208">
        <v>0</v>
      </c>
      <c r="I1733" s="210" t="s">
        <v>1518</v>
      </c>
      <c r="J1733" s="200" t="s">
        <v>103</v>
      </c>
    </row>
    <row r="1734" spans="1:10" s="247" customFormat="1" ht="15" hidden="1" outlineLevel="1">
      <c r="A1734" s="234">
        <v>42796</v>
      </c>
      <c r="B1734" s="205" t="s">
        <v>1515</v>
      </c>
      <c r="C1734" s="205" t="s">
        <v>1010</v>
      </c>
      <c r="D1734" s="202" t="s">
        <v>1519</v>
      </c>
      <c r="E1734" s="202"/>
      <c r="F1734" s="202"/>
      <c r="G1734" s="222"/>
      <c r="H1734" s="239">
        <v>0</v>
      </c>
      <c r="I1734" s="210" t="s">
        <v>1518</v>
      </c>
      <c r="J1734" s="247" t="s">
        <v>103</v>
      </c>
    </row>
    <row r="1735" spans="1:9" s="173" customFormat="1" ht="15" collapsed="1">
      <c r="A1735" s="174"/>
      <c r="B1735" s="175"/>
      <c r="C1735" s="175"/>
      <c r="D1735" s="176"/>
      <c r="E1735" s="176"/>
      <c r="F1735" s="176"/>
      <c r="G1735" s="201" t="s">
        <v>1520</v>
      </c>
      <c r="H1735" s="277">
        <f>SUM(H1732:H1734)</f>
        <v>0</v>
      </c>
      <c r="I1735" s="172"/>
    </row>
    <row r="1736" spans="1:9" s="173" customFormat="1" ht="15">
      <c r="A1736" s="174"/>
      <c r="B1736" s="175"/>
      <c r="C1736" s="175"/>
      <c r="D1736" s="176"/>
      <c r="E1736" s="176"/>
      <c r="F1736" s="176"/>
      <c r="G1736" s="201"/>
      <c r="H1736" s="277"/>
      <c r="I1736" s="172"/>
    </row>
    <row r="1737" spans="1:9" s="173" customFormat="1" ht="15">
      <c r="A1737" s="291" t="s">
        <v>962</v>
      </c>
      <c r="B1737" s="175"/>
      <c r="C1737" s="175"/>
      <c r="D1737" s="176"/>
      <c r="E1737" s="176"/>
      <c r="F1737" s="176"/>
      <c r="G1737" s="201"/>
      <c r="H1737" s="277"/>
      <c r="I1737" s="172"/>
    </row>
    <row r="1738" spans="1:9" s="247" customFormat="1" ht="15" hidden="1" outlineLevel="1">
      <c r="A1738" s="231"/>
      <c r="B1738" s="204"/>
      <c r="C1738" s="204"/>
      <c r="D1738" s="203"/>
      <c r="E1738" s="203"/>
      <c r="F1738" s="203"/>
      <c r="G1738" s="207"/>
      <c r="H1738" s="209"/>
      <c r="I1738" s="210"/>
    </row>
    <row r="1739" spans="1:9" s="247" customFormat="1" ht="15" hidden="1" outlineLevel="1">
      <c r="A1739" s="231">
        <v>42698</v>
      </c>
      <c r="B1739" s="204"/>
      <c r="C1739" s="204"/>
      <c r="D1739" s="203" t="s">
        <v>1239</v>
      </c>
      <c r="E1739" s="203"/>
      <c r="F1739" s="203"/>
      <c r="G1739" s="207"/>
      <c r="H1739" s="245">
        <v>0</v>
      </c>
      <c r="I1739" s="210"/>
    </row>
    <row r="1740" spans="1:9" s="247" customFormat="1" ht="15" hidden="1" outlineLevel="1">
      <c r="A1740" s="234">
        <v>42698</v>
      </c>
      <c r="B1740" s="205"/>
      <c r="C1740" s="205"/>
      <c r="D1740" s="202" t="s">
        <v>1238</v>
      </c>
      <c r="E1740" s="202"/>
      <c r="F1740" s="202"/>
      <c r="G1740" s="222"/>
      <c r="H1740" s="239">
        <v>0</v>
      </c>
      <c r="I1740" s="210"/>
    </row>
    <row r="1741" spans="1:9" s="247" customFormat="1" ht="15" hidden="1" outlineLevel="1">
      <c r="A1741" s="231"/>
      <c r="B1741" s="204"/>
      <c r="C1741" s="204"/>
      <c r="D1741" s="203"/>
      <c r="E1741" s="203"/>
      <c r="F1741" s="203"/>
      <c r="G1741" s="207" t="s">
        <v>1240</v>
      </c>
      <c r="H1741" s="209">
        <f>SUM(H1739:H1740)</f>
        <v>0</v>
      </c>
      <c r="I1741" s="210"/>
    </row>
    <row r="1742" spans="1:9" s="247" customFormat="1" ht="15" hidden="1" outlineLevel="1">
      <c r="A1742" s="231"/>
      <c r="B1742" s="204"/>
      <c r="C1742" s="204"/>
      <c r="D1742" s="203"/>
      <c r="E1742" s="203"/>
      <c r="F1742" s="203"/>
      <c r="G1742" s="207"/>
      <c r="H1742" s="209"/>
      <c r="I1742" s="210"/>
    </row>
    <row r="1743" spans="1:9" s="247" customFormat="1" ht="15" hidden="1" outlineLevel="1">
      <c r="A1743" s="234">
        <v>42698</v>
      </c>
      <c r="B1743" s="205"/>
      <c r="C1743" s="205"/>
      <c r="D1743" s="202" t="s">
        <v>1246</v>
      </c>
      <c r="E1743" s="202"/>
      <c r="F1743" s="202"/>
      <c r="G1743" s="222"/>
      <c r="H1743" s="239">
        <v>0</v>
      </c>
      <c r="I1743" s="210"/>
    </row>
    <row r="1744" spans="1:9" s="247" customFormat="1" ht="15" hidden="1" outlineLevel="1">
      <c r="A1744" s="231"/>
      <c r="B1744" s="204"/>
      <c r="C1744" s="204"/>
      <c r="D1744" s="203"/>
      <c r="E1744" s="203"/>
      <c r="F1744" s="203"/>
      <c r="G1744" s="250" t="s">
        <v>1242</v>
      </c>
      <c r="H1744" s="209">
        <f>SUM(H1743)</f>
        <v>0</v>
      </c>
      <c r="I1744" s="210"/>
    </row>
    <row r="1745" spans="1:9" s="247" customFormat="1" ht="15" hidden="1" outlineLevel="1">
      <c r="A1745" s="231"/>
      <c r="B1745" s="204"/>
      <c r="C1745" s="204"/>
      <c r="D1745" s="203"/>
      <c r="E1745" s="203"/>
      <c r="F1745" s="203"/>
      <c r="G1745" s="207"/>
      <c r="H1745" s="209"/>
      <c r="I1745" s="210"/>
    </row>
    <row r="1746" spans="1:9" s="247" customFormat="1" ht="15" hidden="1" outlineLevel="1">
      <c r="A1746" s="234">
        <v>42698</v>
      </c>
      <c r="B1746" s="205"/>
      <c r="C1746" s="205"/>
      <c r="D1746" s="202" t="s">
        <v>1245</v>
      </c>
      <c r="E1746" s="202"/>
      <c r="F1746" s="202"/>
      <c r="G1746" s="222"/>
      <c r="H1746" s="239">
        <v>0</v>
      </c>
      <c r="I1746" s="210"/>
    </row>
    <row r="1747" spans="1:9" s="247" customFormat="1" ht="15" hidden="1" outlineLevel="1">
      <c r="A1747" s="231"/>
      <c r="B1747" s="204"/>
      <c r="C1747" s="204"/>
      <c r="D1747" s="203"/>
      <c r="E1747" s="203"/>
      <c r="F1747" s="203"/>
      <c r="G1747" s="250" t="s">
        <v>1243</v>
      </c>
      <c r="H1747" s="209">
        <f>SUM(H1746)</f>
        <v>0</v>
      </c>
      <c r="I1747" s="210"/>
    </row>
    <row r="1748" spans="1:9" s="247" customFormat="1" ht="15" hidden="1" outlineLevel="1">
      <c r="A1748" s="231"/>
      <c r="B1748" s="204"/>
      <c r="C1748" s="204"/>
      <c r="D1748" s="203"/>
      <c r="E1748" s="203"/>
      <c r="F1748" s="203"/>
      <c r="G1748" s="207"/>
      <c r="H1748" s="209"/>
      <c r="I1748" s="210"/>
    </row>
    <row r="1749" spans="1:9" s="247" customFormat="1" ht="15" hidden="1" outlineLevel="1">
      <c r="A1749" s="234">
        <v>42698</v>
      </c>
      <c r="B1749" s="205"/>
      <c r="C1749" s="205"/>
      <c r="D1749" s="202" t="s">
        <v>1244</v>
      </c>
      <c r="E1749" s="202"/>
      <c r="F1749" s="202"/>
      <c r="G1749" s="222"/>
      <c r="H1749" s="239">
        <v>0</v>
      </c>
      <c r="I1749" s="210"/>
    </row>
    <row r="1750" spans="1:9" s="247" customFormat="1" ht="15" hidden="1" outlineLevel="1">
      <c r="A1750" s="231"/>
      <c r="B1750" s="204"/>
      <c r="C1750" s="204"/>
      <c r="D1750" s="203"/>
      <c r="E1750" s="203"/>
      <c r="F1750" s="203"/>
      <c r="G1750" s="250" t="s">
        <v>1247</v>
      </c>
      <c r="H1750" s="209">
        <f>SUM(H1749)</f>
        <v>0</v>
      </c>
      <c r="I1750" s="210"/>
    </row>
    <row r="1751" spans="1:9" s="247" customFormat="1" ht="15" hidden="1" outlineLevel="1">
      <c r="A1751" s="231"/>
      <c r="B1751" s="204"/>
      <c r="C1751" s="204"/>
      <c r="D1751" s="203"/>
      <c r="E1751" s="203"/>
      <c r="F1751" s="203"/>
      <c r="G1751" s="207"/>
      <c r="H1751" s="209"/>
      <c r="I1751" s="210"/>
    </row>
    <row r="1752" spans="1:9" s="247" customFormat="1" ht="15" hidden="1" outlineLevel="1">
      <c r="A1752" s="231">
        <v>42698</v>
      </c>
      <c r="B1752" s="204"/>
      <c r="C1752" s="204"/>
      <c r="D1752" s="203" t="s">
        <v>1248</v>
      </c>
      <c r="E1752" s="203"/>
      <c r="F1752" s="203"/>
      <c r="G1752" s="207"/>
      <c r="H1752" s="245">
        <v>0</v>
      </c>
      <c r="I1752" s="210"/>
    </row>
    <row r="1753" spans="1:9" s="247" customFormat="1" ht="15" hidden="1" outlineLevel="1">
      <c r="A1753" s="234">
        <v>42698</v>
      </c>
      <c r="B1753" s="205"/>
      <c r="C1753" s="205"/>
      <c r="D1753" s="202" t="s">
        <v>1249</v>
      </c>
      <c r="E1753" s="202"/>
      <c r="F1753" s="202"/>
      <c r="G1753" s="222"/>
      <c r="H1753" s="239">
        <v>0</v>
      </c>
      <c r="I1753" s="210"/>
    </row>
    <row r="1754" spans="1:9" s="247" customFormat="1" ht="15" hidden="1" outlineLevel="1">
      <c r="A1754" s="231"/>
      <c r="B1754" s="204"/>
      <c r="C1754" s="204"/>
      <c r="D1754" s="203"/>
      <c r="E1754" s="203"/>
      <c r="F1754" s="203"/>
      <c r="G1754" s="207" t="s">
        <v>1250</v>
      </c>
      <c r="H1754" s="209">
        <f>SUM(H1752:H1753)</f>
        <v>0</v>
      </c>
      <c r="I1754" s="210"/>
    </row>
    <row r="1755" spans="1:9" s="173" customFormat="1" ht="15" collapsed="1">
      <c r="A1755" s="174"/>
      <c r="B1755" s="175"/>
      <c r="C1755" s="175"/>
      <c r="D1755" s="176"/>
      <c r="E1755" s="176"/>
      <c r="F1755" s="176"/>
      <c r="G1755" s="201"/>
      <c r="H1755" s="277"/>
      <c r="I1755" s="172"/>
    </row>
    <row r="1756" spans="1:9" s="173" customFormat="1" ht="15">
      <c r="A1756" s="174"/>
      <c r="B1756" s="175"/>
      <c r="C1756" s="175"/>
      <c r="D1756" s="176"/>
      <c r="E1756" s="176"/>
      <c r="F1756" s="176"/>
      <c r="G1756" s="201" t="s">
        <v>1254</v>
      </c>
      <c r="H1756" s="277">
        <f>H1741+H1744+H1747+H1750+H1754</f>
        <v>0</v>
      </c>
      <c r="I1756" s="172"/>
    </row>
    <row r="1757" spans="1:9" s="173" customFormat="1" ht="15">
      <c r="A1757" s="174"/>
      <c r="B1757" s="175"/>
      <c r="C1757" s="175"/>
      <c r="D1757" s="176"/>
      <c r="E1757" s="176"/>
      <c r="F1757" s="176"/>
      <c r="G1757" s="201"/>
      <c r="H1757" s="277"/>
      <c r="I1757" s="172"/>
    </row>
    <row r="1758" spans="1:9" s="173" customFormat="1" ht="15">
      <c r="A1758" s="291" t="s">
        <v>1253</v>
      </c>
      <c r="B1758" s="175"/>
      <c r="C1758" s="175"/>
      <c r="D1758" s="176"/>
      <c r="E1758" s="176"/>
      <c r="F1758" s="176"/>
      <c r="G1758" s="201"/>
      <c r="H1758" s="277"/>
      <c r="I1758" s="172"/>
    </row>
    <row r="1759" spans="1:9" s="173" customFormat="1" ht="15">
      <c r="A1759" s="174"/>
      <c r="B1759" s="175"/>
      <c r="C1759" s="175"/>
      <c r="D1759" s="176"/>
      <c r="E1759" s="176"/>
      <c r="F1759" s="176"/>
      <c r="G1759" s="201"/>
      <c r="H1759" s="277"/>
      <c r="I1759" s="172"/>
    </row>
    <row r="1760" spans="1:9" s="247" customFormat="1" ht="15" hidden="1" outlineLevel="1">
      <c r="A1760" s="234">
        <v>42698</v>
      </c>
      <c r="B1760" s="205"/>
      <c r="C1760" s="205"/>
      <c r="D1760" s="202" t="s">
        <v>1255</v>
      </c>
      <c r="E1760" s="202"/>
      <c r="F1760" s="202"/>
      <c r="G1760" s="222"/>
      <c r="H1760" s="258">
        <v>0</v>
      </c>
      <c r="I1760" s="210"/>
    </row>
    <row r="1761" spans="1:9" s="173" customFormat="1" ht="15" collapsed="1">
      <c r="A1761" s="174"/>
      <c r="B1761" s="175"/>
      <c r="C1761" s="175"/>
      <c r="D1761" s="176"/>
      <c r="E1761" s="176"/>
      <c r="F1761" s="176"/>
      <c r="G1761" s="201"/>
      <c r="H1761" s="277">
        <f>SUM(H1760)</f>
        <v>0</v>
      </c>
      <c r="I1761" s="172"/>
    </row>
    <row r="1762" spans="1:9" s="173" customFormat="1" ht="15">
      <c r="A1762" s="174"/>
      <c r="B1762" s="175"/>
      <c r="C1762" s="175"/>
      <c r="D1762" s="176"/>
      <c r="E1762" s="176"/>
      <c r="F1762" s="176"/>
      <c r="G1762" s="201"/>
      <c r="H1762" s="277"/>
      <c r="I1762" s="172"/>
    </row>
    <row r="1763" spans="1:9" s="173" customFormat="1" ht="15">
      <c r="A1763" s="174"/>
      <c r="B1763" s="175"/>
      <c r="C1763" s="175"/>
      <c r="D1763" s="176"/>
      <c r="E1763" s="176"/>
      <c r="F1763" s="176"/>
      <c r="G1763" s="201"/>
      <c r="H1763" s="277"/>
      <c r="I1763" s="172"/>
    </row>
    <row r="1764" spans="1:9" s="1" customFormat="1" ht="15.75" thickBot="1">
      <c r="A1764" s="268"/>
      <c r="B1764" s="268"/>
      <c r="C1764" s="268"/>
      <c r="D1764" s="268"/>
      <c r="E1764" s="268"/>
      <c r="F1764" s="268"/>
      <c r="G1764" s="268"/>
      <c r="H1764" s="269"/>
      <c r="I1764" s="268"/>
    </row>
    <row r="1765" spans="1:20" s="1" customFormat="1" ht="15">
      <c r="A1765" s="292" t="s">
        <v>56</v>
      </c>
      <c r="B1765" s="293"/>
      <c r="C1765" s="293"/>
      <c r="D1765" s="293"/>
      <c r="E1765" s="293"/>
      <c r="F1765" s="293"/>
      <c r="G1765" s="293"/>
      <c r="H1765" s="294" t="s">
        <v>1</v>
      </c>
      <c r="I1765" s="176" t="s">
        <v>1</v>
      </c>
      <c r="J1765" s="1" t="s">
        <v>1</v>
      </c>
      <c r="K1765" s="1" t="s">
        <v>1</v>
      </c>
      <c r="M1765" s="1" t="s">
        <v>973</v>
      </c>
      <c r="N1765" s="1" t="s">
        <v>956</v>
      </c>
      <c r="O1765" s="1" t="s">
        <v>974</v>
      </c>
      <c r="P1765" s="1" t="s">
        <v>960</v>
      </c>
      <c r="R1765" s="1" t="s">
        <v>966</v>
      </c>
      <c r="S1765" s="1" t="s">
        <v>446</v>
      </c>
      <c r="T1765" s="1" t="s">
        <v>962</v>
      </c>
    </row>
    <row r="1766" spans="1:9" s="1" customFormat="1" ht="15">
      <c r="A1766" s="295"/>
      <c r="B1766" s="176"/>
      <c r="C1766" s="176"/>
      <c r="D1766" s="176"/>
      <c r="E1766" s="176"/>
      <c r="F1766" s="176"/>
      <c r="G1766" s="176"/>
      <c r="H1766" s="296"/>
      <c r="I1766" s="176"/>
    </row>
    <row r="1767" spans="1:20" s="1" customFormat="1" ht="15">
      <c r="A1767" s="295" t="s">
        <v>57</v>
      </c>
      <c r="B1767" s="176"/>
      <c r="C1767" s="176"/>
      <c r="D1767" s="176"/>
      <c r="E1767" s="176" t="s">
        <v>435</v>
      </c>
      <c r="F1767" s="176"/>
      <c r="G1767" s="176"/>
      <c r="H1767" s="296">
        <f>H14</f>
        <v>0</v>
      </c>
      <c r="I1767" s="172"/>
      <c r="M1767" s="67">
        <f>H14</f>
        <v>0</v>
      </c>
      <c r="N1767" s="1">
        <v>0</v>
      </c>
      <c r="O1767" s="1">
        <v>0</v>
      </c>
      <c r="P1767" s="1">
        <v>0</v>
      </c>
      <c r="R1767" s="1">
        <v>0</v>
      </c>
      <c r="S1767" s="1">
        <v>0</v>
      </c>
      <c r="T1767" s="1">
        <v>0</v>
      </c>
    </row>
    <row r="1768" spans="1:20" s="1" customFormat="1" ht="15">
      <c r="A1768" s="295"/>
      <c r="B1768" s="176"/>
      <c r="C1768" s="176"/>
      <c r="D1768" s="176"/>
      <c r="E1768" s="176" t="s">
        <v>669</v>
      </c>
      <c r="F1768" s="176"/>
      <c r="G1768" s="176"/>
      <c r="H1768" s="296">
        <f>H26</f>
        <v>0</v>
      </c>
      <c r="I1768" s="172"/>
      <c r="M1768" s="67">
        <f>H26</f>
        <v>0</v>
      </c>
      <c r="N1768" s="1">
        <v>0</v>
      </c>
      <c r="O1768" s="1">
        <v>0</v>
      </c>
      <c r="P1768" s="1">
        <v>0</v>
      </c>
      <c r="R1768" s="1">
        <v>0</v>
      </c>
      <c r="S1768" s="1">
        <v>0</v>
      </c>
      <c r="T1768" s="1">
        <v>0</v>
      </c>
    </row>
    <row r="1769" spans="1:20" s="1" customFormat="1" ht="15">
      <c r="A1769" s="295"/>
      <c r="B1769" s="176"/>
      <c r="C1769" s="176"/>
      <c r="D1769" s="176"/>
      <c r="E1769" s="176" t="s">
        <v>477</v>
      </c>
      <c r="F1769" s="176"/>
      <c r="G1769" s="176"/>
      <c r="H1769" s="296">
        <f>H525+H666+H834</f>
        <v>4089000</v>
      </c>
      <c r="I1769" s="172"/>
      <c r="M1769" s="67">
        <f>H525+H666+H834</f>
        <v>4089000</v>
      </c>
      <c r="N1769" s="1">
        <v>0</v>
      </c>
      <c r="O1769" s="1">
        <v>0</v>
      </c>
      <c r="P1769" s="1">
        <v>0</v>
      </c>
      <c r="R1769" s="1">
        <v>0</v>
      </c>
      <c r="S1769" s="1">
        <v>0</v>
      </c>
      <c r="T1769" s="67">
        <f>H1741</f>
        <v>0</v>
      </c>
    </row>
    <row r="1770" spans="1:20" s="1" customFormat="1" ht="15">
      <c r="A1770" s="295" t="s">
        <v>1</v>
      </c>
      <c r="B1770" s="176"/>
      <c r="C1770" s="176"/>
      <c r="D1770" s="176"/>
      <c r="E1770" s="176" t="s">
        <v>388</v>
      </c>
      <c r="F1770" s="176"/>
      <c r="G1770" s="176" t="s">
        <v>1</v>
      </c>
      <c r="H1770" s="296">
        <f>H1097+H1106+H1109+H1115+H1131+H1139+H1151+H1170+H1179+H1190+H1205+H1217+H1232+H1244+H1248+H1262+H1274+H1287+H1295+H1303+H1315+H1331+H1339+H1355+H1376+H1389+H1400+H1412+H1423+H1434+H1449+H1461+H1474+H1491+H1499+H1502+H1513+H1579+H1593+H1604+H1615+H1626</f>
        <v>-40038529</v>
      </c>
      <c r="I1770" s="172"/>
      <c r="J1770" s="67"/>
      <c r="M1770" s="177">
        <f>0</f>
        <v>0</v>
      </c>
      <c r="N1770" s="177">
        <f>H1097+H1106+H1109+H1115+H1131+H1139+H1151+H1170+H1179+H1190+H1205+H1217+H1232+H1244+H1248+H1262+H1274+H1287+H1295+H1303+H1315+H1331+H1339+H1355+H1376+H1389+H1400+H1412+H1423+H1434+H1449+H1461+H1474+H1491+H1499+H1502+H1513</f>
        <v>-34171529</v>
      </c>
      <c r="O1770" s="67">
        <f>H1579+H1593+H1604+H1615+H1626</f>
        <v>-5867000</v>
      </c>
      <c r="P1770" s="1">
        <v>0</v>
      </c>
      <c r="R1770" s="1">
        <v>0</v>
      </c>
      <c r="S1770" s="1">
        <v>0</v>
      </c>
      <c r="T1770" s="1">
        <v>0</v>
      </c>
    </row>
    <row r="1771" spans="1:16" s="1" customFormat="1" ht="15">
      <c r="A1771" s="295"/>
      <c r="B1771" s="176"/>
      <c r="C1771" s="176"/>
      <c r="D1771" s="176"/>
      <c r="E1771" s="176" t="s">
        <v>1476</v>
      </c>
      <c r="F1771" s="176"/>
      <c r="G1771" s="176"/>
      <c r="H1771" s="296">
        <f>H295+H1015+H1537+H1664</f>
        <v>0</v>
      </c>
      <c r="I1771" s="172"/>
      <c r="J1771" s="67"/>
      <c r="M1771" s="177">
        <f>H295+H1015</f>
        <v>0</v>
      </c>
      <c r="N1771" s="177">
        <f>H1537</f>
        <v>0</v>
      </c>
      <c r="O1771" s="67"/>
      <c r="P1771" s="67">
        <f>H1664</f>
        <v>0</v>
      </c>
    </row>
    <row r="1772" spans="1:20" s="1" customFormat="1" ht="15">
      <c r="A1772" s="295"/>
      <c r="B1772" s="176"/>
      <c r="C1772" s="176"/>
      <c r="D1772" s="176"/>
      <c r="E1772" s="176" t="s">
        <v>180</v>
      </c>
      <c r="F1772" s="176"/>
      <c r="G1772" s="176"/>
      <c r="H1772" s="296">
        <f>H43+H301+H324+H813+H999+H1710</f>
        <v>0</v>
      </c>
      <c r="I1772" s="172"/>
      <c r="M1772" s="177">
        <f>H43+H301+H324+H813+H999</f>
        <v>0</v>
      </c>
      <c r="N1772" s="1">
        <v>0</v>
      </c>
      <c r="O1772" s="1">
        <v>0</v>
      </c>
      <c r="P1772" s="67">
        <f>H1710</f>
        <v>0</v>
      </c>
      <c r="R1772" s="1">
        <v>0</v>
      </c>
      <c r="S1772" s="1">
        <v>0</v>
      </c>
      <c r="T1772" s="1">
        <v>0</v>
      </c>
    </row>
    <row r="1773" spans="1:20" s="1" customFormat="1" ht="15">
      <c r="A1773" s="295"/>
      <c r="B1773" s="176"/>
      <c r="C1773" s="176"/>
      <c r="D1773" s="176"/>
      <c r="E1773" s="176" t="s">
        <v>480</v>
      </c>
      <c r="F1773" s="176"/>
      <c r="G1773" s="176"/>
      <c r="H1773" s="296">
        <f>H828+H74+H186+H837+H1019+H1582+H1596+H1607+H1618+H1696</f>
        <v>-4089000</v>
      </c>
      <c r="I1773" s="172"/>
      <c r="M1773" s="67">
        <f>H74+H186+H828+H837+H1019</f>
        <v>-4089000</v>
      </c>
      <c r="N1773" s="177">
        <v>0</v>
      </c>
      <c r="O1773" s="67">
        <f>H1582+H1596+H1607+H1618</f>
        <v>0</v>
      </c>
      <c r="P1773" s="67">
        <f>H1696</f>
        <v>0</v>
      </c>
      <c r="R1773" s="1">
        <v>0</v>
      </c>
      <c r="S1773" s="1">
        <v>0</v>
      </c>
      <c r="T1773" s="1">
        <v>0</v>
      </c>
    </row>
    <row r="1774" spans="1:20" s="1" customFormat="1" ht="15">
      <c r="A1774" s="295"/>
      <c r="B1774" s="176"/>
      <c r="C1774" s="176"/>
      <c r="D1774" s="176"/>
      <c r="E1774" s="176" t="s">
        <v>58</v>
      </c>
      <c r="F1774" s="176"/>
      <c r="G1774" s="176"/>
      <c r="H1774" s="296">
        <f>H32+H46+H54+H63+H77+H92+H100+H119+H137+H148+H172+H175+H189+H198+H227+H234+H250+H265+H283+H306+H328+H352+H355+H358+H373+H388+H402+H465+H476+H495+H506+H514+H529+H540+H621+H635+H652+H678+H719+H766+H798+H809+H823+H840+H861+H877+H890+H903+H996+H1002+H1022+H1052+H1540+H1668+H1699+(I1774)</f>
        <v>2900000</v>
      </c>
      <c r="I1774" s="172">
        <f>H200+H390+H467+H623+H654+H721+H800+H892+H1057+H1555+H1636+H1724</f>
        <v>0</v>
      </c>
      <c r="M1774" s="177">
        <f>H32+H46+H54+H63+H77+H92+H100+H119+H137+H148+H172+H175+H189+H198+H227+H234+H250+H265+H283+H306+H328+H352+H355+H358+H373+H388+H402+H465+H476+H495+H506+H514+H529+H540+H621+H635+H652+H678+H719+H766+H798+H809+H823+H840+H861+H877+H890+H903+H996+H1002+H1022+H1052+(H200+H390+H467+H623+H654+H721+H800+H892+H1057)</f>
        <v>2900000</v>
      </c>
      <c r="N1774" s="177">
        <f>H1540+(H1555)</f>
        <v>0</v>
      </c>
      <c r="O1774" s="67">
        <f>H1636</f>
        <v>0</v>
      </c>
      <c r="P1774" s="67">
        <f>H1668+H1699+H1722+(H1724)</f>
        <v>0</v>
      </c>
      <c r="R1774" s="1">
        <v>0</v>
      </c>
      <c r="S1774" s="1">
        <v>0</v>
      </c>
      <c r="T1774" s="67">
        <f>H1744</f>
        <v>0</v>
      </c>
    </row>
    <row r="1775" spans="1:20" s="1" customFormat="1" ht="15">
      <c r="A1775" s="297"/>
      <c r="B1775" s="176"/>
      <c r="C1775" s="176"/>
      <c r="D1775" s="176"/>
      <c r="E1775" s="176" t="s">
        <v>59</v>
      </c>
      <c r="F1775" s="176"/>
      <c r="G1775" s="176" t="s">
        <v>1</v>
      </c>
      <c r="H1775" s="296">
        <f>H114+H268+H309+H331+H361+H405+H509+H562+H748+H844+H864+H1142+H1159+H1182+H1193+H1208+H1220+H1235+H1251+H1265+H1277+H1306+H1318+H1342+H1358+H1379+H1403+H1437+H1452+H1464+H1477+H1521+H1679+H1688</f>
        <v>7518000</v>
      </c>
      <c r="I1775" s="172"/>
      <c r="M1775" s="67">
        <f>H114+H268+H309+H331+H361+H405+H509+H562+H748+H844+H864</f>
        <v>6578000</v>
      </c>
      <c r="N1775" s="177">
        <f>H1142+H1159+H1182+H1193+H1208+H1220+H1235+H1251+H1265+H1277+H1306+H1318+H1342+H1358+H1379+H1403+H1437+H1452+H1464+H1477+H1521</f>
        <v>940000</v>
      </c>
      <c r="O1775" s="1">
        <v>0</v>
      </c>
      <c r="P1775" s="67">
        <f>H1679+H1688</f>
        <v>0</v>
      </c>
      <c r="R1775" s="1">
        <v>0</v>
      </c>
      <c r="S1775" s="1">
        <v>0</v>
      </c>
      <c r="T1775" s="1">
        <v>0</v>
      </c>
    </row>
    <row r="1776" spans="1:20" s="1" customFormat="1" ht="15">
      <c r="A1776" s="297"/>
      <c r="B1776" s="176"/>
      <c r="C1776" s="176"/>
      <c r="D1776" s="176"/>
      <c r="E1776" s="176" t="s">
        <v>389</v>
      </c>
      <c r="F1776" s="176"/>
      <c r="G1776" s="176"/>
      <c r="H1776" s="296">
        <f>H35+H81+H95+H103+H159+H164+H181+H219+H238+H256+H271+H287+H316+H338+H366+H376+H413+H424+H433+H479+H436+H487+H517+H532+H543+H552+H565+H570+H578+H586+H632+H638+H681+H730+H754+H757+H763+H778+H847+H872+H980+H1010+H1035+H1545</f>
        <v>34171529</v>
      </c>
      <c r="I1776" s="172"/>
      <c r="M1776" s="177">
        <f>H35+H81+H95+H103+H159+H164+H181+H219+H238+H256+H271+H287+H316+H338+H366+H376+H413+H424+H433+H436+H479+H487+H517+H532+H543+H552+H565+H570+H578+H586+H632+H638+H681+H730+H754+H757+H763+H778+H847+H872+H980+H1010+H1035</f>
        <v>34936658</v>
      </c>
      <c r="N1776" s="177">
        <f>H1545</f>
        <v>-765129</v>
      </c>
      <c r="O1776" s="1">
        <v>0</v>
      </c>
      <c r="P1776" s="298">
        <v>0</v>
      </c>
      <c r="R1776" s="1">
        <v>0</v>
      </c>
      <c r="S1776" s="1">
        <v>0</v>
      </c>
      <c r="T1776" s="1">
        <v>0</v>
      </c>
    </row>
    <row r="1777" spans="1:20" s="1" customFormat="1" ht="15">
      <c r="A1777" s="297"/>
      <c r="B1777" s="176"/>
      <c r="C1777" s="176"/>
      <c r="D1777" s="176"/>
      <c r="E1777" s="176" t="s">
        <v>145</v>
      </c>
      <c r="F1777" s="176"/>
      <c r="G1777" s="176"/>
      <c r="H1777" s="296">
        <f>H1094+H38+H66+H71+H84+H89+H106+H123+H133+H145+H151+H167+H178+H216+H241+H253+H274+H290+H313+H345+H380+H399+H408+H416+H421+H429+H439+H447+H482+H490+H501+H520+H535+H546+H557+H573+H589+H641+H646+H669+H672+H684+H689+H692+H701+H709+H714+H734+H737+H742+H745+H751+H769+H772+H775+H781+H786+H789+H831+H856+H868+H882+H913+H940+H947+H950+H964+H977+H991+H1006+H1031+H1043+H1049+H1118+H1134+H1146+H1156+H1162+H1185+H1197+H1211+H1223+H1239+H1254+H1269+H1281+H1290+H1298+H1310+H1322+H1334+H1345+H1363+H1372+H1384+H1392+H1407+H1415+H1426+H1441+H1456+H1468+H1481+H1505+H1525+H1548+H1553+H1588+H1599+H1610+H1621+H1629+H1652+H1661+H1671+H1676+H1683+H1691+H1702+H1707+H1714+(I1777)</f>
        <v>-2827000</v>
      </c>
      <c r="I1777" s="172">
        <f>H202+H392+H469+H625+H656+H723+H802+H894+H1059+H1557+H1638+H1726</f>
        <v>0</v>
      </c>
      <c r="M1777" s="177">
        <f>H38+H66+H71+H84+H89+H106+H123+H133+H145+H151+H167+H178+H216+H241+H253+H274+H290+H313+H345+H380+H399+H408+H416+H421+H429+H439+H447+H482+H490+H501+H520+H535+H546+H557+H573+H589+H641+H646+H669+H672+H684+H689+H692+H701+H709+H714+H734+H737+H742+H745+H751+H769+H772+H775+H781+H786+H789+H831+H856+H868+H882+H913+H940+H947+H950+H964+H977+H991+H1006+H1031+H1043+H1049+(H202+H392+H469+H625+H656+H723+H802+H894+H1059)</f>
        <v>-7827000</v>
      </c>
      <c r="N1777" s="177">
        <f>H1094+H1118+H1134+H1146+H1156+H1162+H1185+H1197+H1211+H1223+H1239+H1254+H1269+H1281+H1290+H1298+H1310+H1322+H1334+H1345+H1363+H1372+H1384+H1392+H1407+H1415+H1426+H1441+H1456+H1468+H1481+H1505+H1525+H1548+H1553+(H1557)</f>
        <v>5377000</v>
      </c>
      <c r="O1777" s="177">
        <f>H1588+H1599+H1610+H1621+H1629+(H1638)</f>
        <v>-165000</v>
      </c>
      <c r="P1777" s="177">
        <f>H1661+H1671+H1676+H1683+H1691+H1702+H1707+H1714+(H1726)</f>
        <v>-212000</v>
      </c>
      <c r="R1777" s="1">
        <v>0</v>
      </c>
      <c r="S1777" s="67">
        <f>H1652+H1655</f>
        <v>0</v>
      </c>
      <c r="T1777" s="67">
        <f>H1750</f>
        <v>0</v>
      </c>
    </row>
    <row r="1778" spans="1:20" s="1" customFormat="1" ht="15">
      <c r="A1778" s="297"/>
      <c r="B1778" s="176"/>
      <c r="C1778" s="176"/>
      <c r="D1778" s="176"/>
      <c r="E1778" s="176" t="s">
        <v>146</v>
      </c>
      <c r="F1778" s="176"/>
      <c r="G1778" s="176" t="s">
        <v>1</v>
      </c>
      <c r="H1778" s="296">
        <f>H51+H57+H60+H140+H195+H209+H222+H230+H244+H277+H298+H319+H334+H369+H385+H450+H462+H581+H592+H597+H618+H649+H663+H792+H795+H887+H968+H971+H986+H1040+(H1055*0)</f>
        <v>0</v>
      </c>
      <c r="I1778" s="172"/>
      <c r="M1778" s="177">
        <f>H51+H57+H60+H140+H195+H222+H230+H244+H277+H298+H319+H334+H369+H385+H450+H462+H581+H592+H597+H618+H649+H792+H795+H887+H968+H971+H986+H1040+(H1055*0)</f>
        <v>0</v>
      </c>
      <c r="N1778" s="1">
        <v>0</v>
      </c>
      <c r="O1778" s="1">
        <v>0</v>
      </c>
      <c r="P1778" s="1">
        <v>0</v>
      </c>
      <c r="R1778" s="1">
        <v>0</v>
      </c>
      <c r="S1778" s="1">
        <v>0</v>
      </c>
      <c r="T1778" s="1">
        <v>0</v>
      </c>
    </row>
    <row r="1779" spans="1:20" s="1" customFormat="1" ht="15">
      <c r="A1779" s="297"/>
      <c r="B1779" s="176"/>
      <c r="C1779" s="176"/>
      <c r="D1779" s="176"/>
      <c r="E1779" s="176" t="s">
        <v>148</v>
      </c>
      <c r="F1779" s="176"/>
      <c r="G1779" s="176"/>
      <c r="H1779" s="296">
        <f>H109+H442</f>
        <v>0</v>
      </c>
      <c r="I1779" s="172"/>
      <c r="M1779" s="177">
        <f>H109+H442</f>
        <v>0</v>
      </c>
      <c r="N1779" s="1">
        <v>0</v>
      </c>
      <c r="O1779" s="1">
        <v>0</v>
      </c>
      <c r="P1779" s="1">
        <v>0</v>
      </c>
      <c r="R1779" s="1">
        <v>0</v>
      </c>
      <c r="S1779" s="1">
        <v>0</v>
      </c>
      <c r="T1779" s="1">
        <v>0</v>
      </c>
    </row>
    <row r="1780" spans="1:20" s="1" customFormat="1" ht="15">
      <c r="A1780" s="297"/>
      <c r="B1780" s="176"/>
      <c r="C1780" s="176"/>
      <c r="D1780" s="176"/>
      <c r="E1780" s="176" t="s">
        <v>147</v>
      </c>
      <c r="F1780" s="176"/>
      <c r="G1780" s="176"/>
      <c r="H1780" s="296">
        <f>H704+H983</f>
        <v>0</v>
      </c>
      <c r="I1780" s="172"/>
      <c r="M1780" s="177">
        <f>H704+H983</f>
        <v>0</v>
      </c>
      <c r="N1780" s="1">
        <v>0</v>
      </c>
      <c r="O1780" s="1">
        <v>0</v>
      </c>
      <c r="P1780" s="1">
        <v>0</v>
      </c>
      <c r="R1780" s="1">
        <v>0</v>
      </c>
      <c r="S1780" s="1">
        <v>0</v>
      </c>
      <c r="T1780" s="1">
        <v>0</v>
      </c>
    </row>
    <row r="1781" spans="1:20" s="1" customFormat="1" ht="15">
      <c r="A1781" s="297"/>
      <c r="B1781" s="176"/>
      <c r="C1781" s="176"/>
      <c r="D1781" s="176"/>
      <c r="E1781" s="176" t="s">
        <v>148</v>
      </c>
      <c r="F1781" s="176"/>
      <c r="G1781" s="176"/>
      <c r="H1781" s="296">
        <f>H126+H695</f>
        <v>0</v>
      </c>
      <c r="I1781" s="172"/>
      <c r="M1781" s="177">
        <f>H126+H695</f>
        <v>0</v>
      </c>
      <c r="N1781" s="1">
        <v>0</v>
      </c>
      <c r="O1781" s="1">
        <v>0</v>
      </c>
      <c r="P1781" s="1">
        <v>0</v>
      </c>
      <c r="R1781" s="1">
        <v>0</v>
      </c>
      <c r="S1781" s="1">
        <v>0</v>
      </c>
      <c r="T1781" s="1">
        <v>0</v>
      </c>
    </row>
    <row r="1782" spans="1:20" s="1" customFormat="1" ht="15">
      <c r="A1782" s="297"/>
      <c r="B1782" s="176"/>
      <c r="C1782" s="176"/>
      <c r="D1782" s="176"/>
      <c r="E1782" s="176" t="s">
        <v>426</v>
      </c>
      <c r="F1782" s="176"/>
      <c r="G1782" s="176"/>
      <c r="H1782" s="296">
        <f>H1101+H1111+H1121+H1126+H1165+H1173+H1199+H1227+H1257+H1325+H1366+H1395+H1418+H1429+H1444+H1484+H1494+H1516+H1719+H1508+H1632</f>
        <v>13409052</v>
      </c>
      <c r="I1782" s="299"/>
      <c r="M1782" s="1">
        <v>0</v>
      </c>
      <c r="N1782" s="177">
        <f>H1101+H1111+H1121+H1126+H1165+H1173+H1199+H1227+H1257+H1325+H1366+H1395+H1418+H1429+H1444+H1484+H1494+H1508+H1516</f>
        <v>13105345</v>
      </c>
      <c r="O1782" s="106">
        <f>H1632</f>
        <v>303707</v>
      </c>
      <c r="P1782" s="177">
        <f>H1719</f>
        <v>0</v>
      </c>
      <c r="R1782" s="1">
        <v>0</v>
      </c>
      <c r="S1782" s="1">
        <v>0</v>
      </c>
      <c r="T1782" s="1">
        <v>0</v>
      </c>
    </row>
    <row r="1783" spans="1:20" s="1" customFormat="1" ht="15">
      <c r="A1783" s="297"/>
      <c r="B1783" s="176"/>
      <c r="C1783" s="176"/>
      <c r="D1783" s="176"/>
      <c r="E1783" s="176" t="s">
        <v>487</v>
      </c>
      <c r="F1783" s="176"/>
      <c r="G1783" s="176"/>
      <c r="H1783" s="296">
        <f>H1066</f>
        <v>0</v>
      </c>
      <c r="I1783" s="299"/>
      <c r="M1783" s="177">
        <f>H1066</f>
        <v>0</v>
      </c>
      <c r="N1783" s="1">
        <v>0</v>
      </c>
      <c r="O1783" s="1">
        <v>0</v>
      </c>
      <c r="P1783" s="1">
        <v>0</v>
      </c>
      <c r="R1783" s="1">
        <v>0</v>
      </c>
      <c r="S1783" s="1">
        <v>0</v>
      </c>
      <c r="T1783" s="67">
        <f>H1747</f>
        <v>0</v>
      </c>
    </row>
    <row r="1784" spans="1:20" s="1" customFormat="1" ht="15">
      <c r="A1784" s="297"/>
      <c r="B1784" s="176"/>
      <c r="C1784" s="176"/>
      <c r="D1784" s="176"/>
      <c r="E1784" s="176" t="s">
        <v>654</v>
      </c>
      <c r="F1784" s="176"/>
      <c r="G1784" s="176"/>
      <c r="H1784" s="296">
        <f>H1084+H1530</f>
        <v>-15133052</v>
      </c>
      <c r="I1784" s="299"/>
      <c r="M1784" s="177">
        <f>H1084</f>
        <v>-15133052</v>
      </c>
      <c r="N1784" s="67">
        <f>H1530</f>
        <v>0</v>
      </c>
      <c r="O1784" s="1">
        <v>0</v>
      </c>
      <c r="P1784" s="1">
        <v>0</v>
      </c>
      <c r="R1784" s="1">
        <v>0</v>
      </c>
      <c r="S1784" s="1">
        <v>0</v>
      </c>
      <c r="T1784" s="1">
        <v>0</v>
      </c>
    </row>
    <row r="1785" spans="1:20" s="1" customFormat="1" ht="15">
      <c r="A1785" s="297"/>
      <c r="B1785" s="176"/>
      <c r="C1785" s="176"/>
      <c r="D1785" s="176"/>
      <c r="E1785" s="176" t="s">
        <v>1252</v>
      </c>
      <c r="F1785" s="176"/>
      <c r="G1785" s="176"/>
      <c r="H1785" s="296">
        <f>H1055</f>
        <v>0</v>
      </c>
      <c r="I1785" s="299"/>
      <c r="M1785" s="177">
        <f>H1055</f>
        <v>0</v>
      </c>
      <c r="T1785" s="67">
        <f>H1754</f>
        <v>0</v>
      </c>
    </row>
    <row r="1786" spans="1:20" s="1" customFormat="1" ht="15">
      <c r="A1786" s="297"/>
      <c r="B1786" s="176"/>
      <c r="C1786" s="176"/>
      <c r="D1786" s="176"/>
      <c r="E1786" s="300" t="s">
        <v>60</v>
      </c>
      <c r="F1786" s="300"/>
      <c r="G1786" s="300"/>
      <c r="H1786" s="301">
        <f>SUM(H1767:H1785)</f>
        <v>0</v>
      </c>
      <c r="I1786" s="176"/>
      <c r="M1786" s="302">
        <f>SUM(M1767:M1785)</f>
        <v>21454606</v>
      </c>
      <c r="N1786" s="302">
        <f aca="true" t="shared" si="0" ref="N1786:T1786">SUM(N1767:N1785)</f>
        <v>-15514313</v>
      </c>
      <c r="O1786" s="302">
        <f t="shared" si="0"/>
        <v>-5728293</v>
      </c>
      <c r="P1786" s="302">
        <f t="shared" si="0"/>
        <v>-212000</v>
      </c>
      <c r="Q1786" s="302">
        <f t="shared" si="0"/>
        <v>0</v>
      </c>
      <c r="R1786" s="302">
        <f t="shared" si="0"/>
        <v>0</v>
      </c>
      <c r="S1786" s="302">
        <f t="shared" si="0"/>
        <v>0</v>
      </c>
      <c r="T1786" s="302">
        <f t="shared" si="0"/>
        <v>0</v>
      </c>
    </row>
    <row r="1787" spans="1:9" s="1" customFormat="1" ht="15">
      <c r="A1787" s="297"/>
      <c r="B1787" s="176"/>
      <c r="C1787" s="176"/>
      <c r="D1787" s="176"/>
      <c r="E1787" s="176"/>
      <c r="F1787" s="176"/>
      <c r="G1787" s="176"/>
      <c r="H1787" s="296"/>
      <c r="I1787" s="172"/>
    </row>
    <row r="1788" spans="1:9" s="1" customFormat="1" ht="15">
      <c r="A1788" s="295" t="s">
        <v>37</v>
      </c>
      <c r="B1788" s="176"/>
      <c r="C1788" s="176"/>
      <c r="D1788" s="176"/>
      <c r="E1788" s="176" t="s">
        <v>477</v>
      </c>
      <c r="F1788" s="176"/>
      <c r="G1788" s="176"/>
      <c r="H1788" s="296">
        <f>H1741</f>
        <v>0</v>
      </c>
      <c r="I1788" s="172"/>
    </row>
    <row r="1789" spans="1:12" s="1" customFormat="1" ht="15">
      <c r="A1789" s="297"/>
      <c r="B1789" s="176"/>
      <c r="C1789" s="176"/>
      <c r="D1789" s="176"/>
      <c r="E1789" s="176" t="s">
        <v>58</v>
      </c>
      <c r="F1789" s="176"/>
      <c r="G1789" s="176"/>
      <c r="H1789" s="296">
        <f>H1744</f>
        <v>0</v>
      </c>
      <c r="I1789" s="172"/>
      <c r="L1789" s="67" t="s">
        <v>1</v>
      </c>
    </row>
    <row r="1790" spans="1:9" s="1" customFormat="1" ht="15">
      <c r="A1790" s="297"/>
      <c r="B1790" s="176"/>
      <c r="C1790" s="176"/>
      <c r="D1790" s="176"/>
      <c r="E1790" s="176" t="s">
        <v>1241</v>
      </c>
      <c r="F1790" s="176"/>
      <c r="G1790" s="176"/>
      <c r="H1790" s="296">
        <f>H1747</f>
        <v>0</v>
      </c>
      <c r="I1790" s="172"/>
    </row>
    <row r="1791" spans="1:9" s="1" customFormat="1" ht="15">
      <c r="A1791" s="297"/>
      <c r="B1791" s="176"/>
      <c r="C1791" s="176"/>
      <c r="D1791" s="176"/>
      <c r="E1791" s="176" t="s">
        <v>61</v>
      </c>
      <c r="F1791" s="176"/>
      <c r="G1791" s="176" t="s">
        <v>1</v>
      </c>
      <c r="H1791" s="296">
        <v>0</v>
      </c>
      <c r="I1791" s="172"/>
    </row>
    <row r="1792" spans="1:9" s="1" customFormat="1" ht="15">
      <c r="A1792" s="297"/>
      <c r="B1792" s="176"/>
      <c r="C1792" s="176"/>
      <c r="D1792" s="176"/>
      <c r="E1792" s="176" t="s">
        <v>62</v>
      </c>
      <c r="F1792" s="176"/>
      <c r="G1792" s="176" t="s">
        <v>1</v>
      </c>
      <c r="H1792" s="296">
        <f>H1750</f>
        <v>0</v>
      </c>
      <c r="I1792" s="176"/>
    </row>
    <row r="1793" spans="1:9" s="1" customFormat="1" ht="15">
      <c r="A1793" s="297"/>
      <c r="B1793" s="176"/>
      <c r="C1793" s="176"/>
      <c r="D1793" s="176"/>
      <c r="E1793" s="176" t="s">
        <v>1251</v>
      </c>
      <c r="F1793" s="176"/>
      <c r="G1793" s="176"/>
      <c r="H1793" s="296">
        <v>0</v>
      </c>
      <c r="I1793" s="176"/>
    </row>
    <row r="1794" spans="1:9" s="1" customFormat="1" ht="15">
      <c r="A1794" s="297"/>
      <c r="B1794" s="176"/>
      <c r="C1794" s="176"/>
      <c r="D1794" s="176"/>
      <c r="E1794" s="176" t="s">
        <v>1252</v>
      </c>
      <c r="F1794" s="176"/>
      <c r="G1794" s="176"/>
      <c r="H1794" s="296">
        <f>H1754</f>
        <v>0</v>
      </c>
      <c r="I1794" s="299"/>
    </row>
    <row r="1795" spans="1:9" s="1" customFormat="1" ht="15">
      <c r="A1795" s="297"/>
      <c r="B1795" s="176"/>
      <c r="C1795" s="176"/>
      <c r="D1795" s="176"/>
      <c r="E1795" s="300" t="s">
        <v>63</v>
      </c>
      <c r="F1795" s="300"/>
      <c r="G1795" s="300"/>
      <c r="H1795" s="301">
        <f>SUM(H1788:H1794)</f>
        <v>0</v>
      </c>
      <c r="I1795" s="176"/>
    </row>
    <row r="1796" spans="1:9" s="1" customFormat="1" ht="15">
      <c r="A1796" s="297"/>
      <c r="B1796" s="176"/>
      <c r="C1796" s="176"/>
      <c r="D1796" s="176"/>
      <c r="E1796" s="176"/>
      <c r="F1796" s="176"/>
      <c r="G1796" s="176"/>
      <c r="H1796" s="296"/>
      <c r="I1796" s="176"/>
    </row>
    <row r="1797" spans="1:9" s="1" customFormat="1" ht="15">
      <c r="A1797" s="297"/>
      <c r="B1797" s="176"/>
      <c r="C1797" s="176"/>
      <c r="D1797" s="176"/>
      <c r="E1797" s="176"/>
      <c r="F1797" s="176"/>
      <c r="G1797" s="176"/>
      <c r="H1797" s="296"/>
      <c r="I1797" s="299"/>
    </row>
    <row r="1798" spans="1:20" s="1" customFormat="1" ht="15">
      <c r="A1798" s="303" t="s">
        <v>1</v>
      </c>
      <c r="B1798" s="170"/>
      <c r="C1798" s="170"/>
      <c r="D1798" s="170"/>
      <c r="E1798" s="300" t="s">
        <v>64</v>
      </c>
      <c r="F1798" s="300"/>
      <c r="G1798" s="300"/>
      <c r="H1798" s="301">
        <f>H1786+H1795</f>
        <v>0</v>
      </c>
      <c r="I1798" s="282" t="s">
        <v>3</v>
      </c>
      <c r="M1798" s="1">
        <v>0</v>
      </c>
      <c r="N1798" s="177">
        <f>H1575</f>
        <v>0</v>
      </c>
      <c r="O1798" s="67">
        <f>H1645</f>
        <v>0</v>
      </c>
      <c r="P1798" s="304">
        <f>H1735</f>
        <v>0</v>
      </c>
      <c r="R1798" s="1">
        <v>0</v>
      </c>
      <c r="S1798" s="1">
        <v>0</v>
      </c>
      <c r="T1798" s="67">
        <f>H1761</f>
        <v>0</v>
      </c>
    </row>
    <row r="1799" spans="1:8" s="1" customFormat="1" ht="15.75" thickBot="1">
      <c r="A1799" s="305"/>
      <c r="B1799" s="306"/>
      <c r="C1799" s="306"/>
      <c r="D1799" s="306"/>
      <c r="E1799" s="306"/>
      <c r="F1799" s="306"/>
      <c r="G1799" s="306"/>
      <c r="H1799" s="307"/>
    </row>
    <row r="1800" s="1" customFormat="1" ht="409.5"/>
    <row r="1801" s="1" customFormat="1" ht="409.5">
      <c r="M1801" s="67">
        <f>M1786+N1786+O1786+P1786</f>
        <v>0</v>
      </c>
    </row>
    <row r="1802" spans="8:9" s="1" customFormat="1" ht="12.75" hidden="1" outlineLevel="1">
      <c r="H1802" s="1" t="s">
        <v>1121</v>
      </c>
      <c r="I1802" s="308"/>
    </row>
    <row r="1803" spans="8:9" s="1" customFormat="1" ht="15" hidden="1" outlineLevel="1">
      <c r="H1803" s="309">
        <v>376</v>
      </c>
      <c r="I1803" s="177">
        <f aca="true" t="shared" si="1" ref="I1803:I1813">SUMIF($C$1:$C$1718,H1803,$H$1:$H$1718)</f>
        <v>-31210132</v>
      </c>
    </row>
    <row r="1804" spans="8:10" s="1" customFormat="1" ht="15" hidden="1" outlineLevel="1">
      <c r="H1804" s="309">
        <v>377</v>
      </c>
      <c r="I1804" s="177">
        <f t="shared" si="1"/>
        <v>-2961397</v>
      </c>
      <c r="J1804" s="67"/>
    </row>
    <row r="1805" spans="8:9" s="1" customFormat="1" ht="15" hidden="1" outlineLevel="1">
      <c r="H1805" s="309">
        <v>750</v>
      </c>
      <c r="I1805" s="177">
        <f t="shared" si="1"/>
        <v>0</v>
      </c>
    </row>
    <row r="1806" spans="8:9" s="1" customFormat="1" ht="15" hidden="1" outlineLevel="1">
      <c r="H1806" s="309">
        <v>782</v>
      </c>
      <c r="I1806" s="177">
        <f t="shared" si="1"/>
        <v>0</v>
      </c>
    </row>
    <row r="1807" spans="8:9" s="1" customFormat="1" ht="15" hidden="1" outlineLevel="1">
      <c r="H1807" s="1">
        <v>4430</v>
      </c>
      <c r="I1807" s="177">
        <f t="shared" si="1"/>
        <v>34171529</v>
      </c>
    </row>
    <row r="1808" spans="8:9" s="1" customFormat="1" ht="15" hidden="1" outlineLevel="1">
      <c r="H1808" s="309">
        <v>4810</v>
      </c>
      <c r="I1808" s="177">
        <f t="shared" si="1"/>
        <v>-130000</v>
      </c>
    </row>
    <row r="1809" spans="8:9" s="1" customFormat="1" ht="15" hidden="1" outlineLevel="1">
      <c r="H1809" s="1">
        <v>5103</v>
      </c>
      <c r="I1809" s="177">
        <f t="shared" si="1"/>
        <v>0</v>
      </c>
    </row>
    <row r="1810" spans="8:9" s="1" customFormat="1" ht="15" hidden="1" outlineLevel="1">
      <c r="H1810" s="1">
        <v>5104</v>
      </c>
      <c r="I1810" s="177">
        <f t="shared" si="1"/>
        <v>0</v>
      </c>
    </row>
    <row r="1811" spans="8:9" s="1" customFormat="1" ht="15" hidden="1" outlineLevel="1">
      <c r="H1811" s="1">
        <v>5892</v>
      </c>
      <c r="I1811" s="177">
        <f t="shared" si="1"/>
        <v>9833607</v>
      </c>
    </row>
    <row r="1812" spans="8:9" s="1" customFormat="1" ht="15" hidden="1" outlineLevel="1">
      <c r="H1812" s="1">
        <v>5893</v>
      </c>
      <c r="I1812" s="177">
        <f t="shared" si="1"/>
        <v>1246189</v>
      </c>
    </row>
    <row r="1813" spans="8:9" s="1" customFormat="1" ht="15" hidden="1" outlineLevel="1">
      <c r="H1813" s="1">
        <v>5894</v>
      </c>
      <c r="I1813" s="177">
        <f t="shared" si="1"/>
        <v>2042867</v>
      </c>
    </row>
    <row r="1814" s="1" customFormat="1" ht="12.75" hidden="1" outlineLevel="1">
      <c r="I1814" s="310">
        <f>SUM(I1803:I1813)</f>
        <v>12992663</v>
      </c>
    </row>
    <row r="1815" s="1" customFormat="1" ht="409.5" collapsed="1"/>
    <row r="1816" s="1" customFormat="1" ht="409.5"/>
    <row r="1817" s="1" customFormat="1" ht="409.5"/>
  </sheetData>
  <sheetProtection/>
  <mergeCells count="2">
    <mergeCell ref="A394:G394"/>
    <mergeCell ref="A395:G395"/>
  </mergeCells>
  <printOptions/>
  <pageMargins left="0.5511811023622047" right="0.5511811023622047" top="0.5905511811023623" bottom="0.5905511811023623" header="0.11811023622047245" footer="0.11811023622047245"/>
  <pageSetup horizontalDpi="600" verticalDpi="600" orientation="landscape" paperSize="9" r:id="rId1"/>
  <headerFooter alignWithMargins="0">
    <oddHeader>&amp;L&amp;14&amp;K00-035Akraneskaupstaður viðauki II - júní - ágúst 2017</oddHeader>
    <oddFooter>&amp;LAÓ/Viðauki III árið 2016&amp;C&amp;P&amp;R&amp;D/&amp;T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443</v>
      </c>
      <c r="D5" s="29" t="s">
        <v>443</v>
      </c>
      <c r="E5" s="28" t="s">
        <v>443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714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nr.2'!R1767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503</v>
      </c>
      <c r="C9" s="118">
        <v>0</v>
      </c>
      <c r="D9" s="67">
        <f>'Sundurliðun viðauka nr.2'!R1768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504</v>
      </c>
      <c r="C10" s="118">
        <v>0</v>
      </c>
      <c r="D10" s="67">
        <f>'Sundurliðun viðauka nr.2'!R1769+'Sundurliðun viðauka nr.2'!R1770+'Sundurliðun viðauka nr.2'!R1772+'Sundurliðun viðauka nr.2'!R1773</f>
        <v>0</v>
      </c>
      <c r="E10" s="119">
        <f>C10+D10</f>
        <v>0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0</v>
      </c>
      <c r="D11" s="40">
        <f>SUM(D8:D10)</f>
        <v>0</v>
      </c>
      <c r="E11" s="120">
        <f>SUM(E8:E10)</f>
        <v>0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0</v>
      </c>
      <c r="D14" s="67">
        <f>'Sundurliðun viðauka nr.2'!R1774</f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507</v>
      </c>
      <c r="C15" s="118">
        <v>0</v>
      </c>
      <c r="D15" s="67">
        <f>'Sundurliðun viðauka nr.2'!R1775+'Sundurliðun viðauka nr.2'!R1776+'Sundurliðun viðauka nr.2'!R1777+'Sundurliðun viðauka nr.2'!R1778+'Sundurliðun viðauka nr.2'!R1779+'Sundurliðun viðauka nr.2'!R1780+'Sundurliðun viðauka nr.2'!R1781</f>
        <v>0</v>
      </c>
      <c r="E15" s="119">
        <f>C15+D15</f>
        <v>0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508</v>
      </c>
      <c r="C16" s="118">
        <v>0</v>
      </c>
      <c r="D16" s="67">
        <f>'Sundurliðun viðauka nr.2'!R1783</f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0</v>
      </c>
      <c r="D17" s="40">
        <f>SUM(D14:D16)</f>
        <v>0</v>
      </c>
      <c r="E17" s="120">
        <f>SUM(E14:E16)</f>
        <v>0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 t="e">
        <f>(C11-C17)/C11</f>
        <v>#DIV/0!</v>
      </c>
      <c r="D19" s="71" t="s">
        <v>1</v>
      </c>
      <c r="E19" s="68" t="e">
        <f>(E11-E17)/E11</f>
        <v>#DIV/0!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0</v>
      </c>
      <c r="D20" s="67">
        <f>'Sundurliðun viðauka nr.2'!R1782</f>
        <v>0</v>
      </c>
      <c r="E20" s="119">
        <f>C20+D20</f>
        <v>0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511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-39</v>
      </c>
      <c r="D24" s="40">
        <f>'Sundurliðun viðauka nr.2'!R1784</f>
        <v>0</v>
      </c>
      <c r="E24" s="120">
        <f>C24+D24</f>
        <v>-39</v>
      </c>
      <c r="G24" s="120">
        <v>-10604</v>
      </c>
      <c r="H24" s="40">
        <f>D24</f>
        <v>0</v>
      </c>
      <c r="I24" s="120">
        <f>G24+H24</f>
        <v>-10604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513</v>
      </c>
      <c r="C26" s="118">
        <f>C21+C24</f>
        <v>-39</v>
      </c>
      <c r="D26" s="44">
        <f>D21+D24</f>
        <v>0</v>
      </c>
      <c r="E26" s="118">
        <f>E21+E24</f>
        <v>-39</v>
      </c>
      <c r="G26" s="118"/>
      <c r="H26" s="44"/>
      <c r="I26" s="118"/>
    </row>
    <row r="27" spans="2:9" ht="409.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516</v>
      </c>
      <c r="C30" s="118">
        <f>C26+C29</f>
        <v>-39</v>
      </c>
      <c r="D30" s="44">
        <f>D26+D29</f>
        <v>0</v>
      </c>
      <c r="E30" s="118">
        <f>E26+E29</f>
        <v>-39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409.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-39</v>
      </c>
      <c r="D33" s="124">
        <f>SUM(D30:D32)</f>
        <v>0</v>
      </c>
      <c r="E33" s="123">
        <f>SUM(E30:E32)</f>
        <v>-39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409.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443</v>
      </c>
      <c r="D42" s="29" t="s">
        <v>443</v>
      </c>
      <c r="E42" s="28" t="s">
        <v>443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409.5">
      <c r="B44" s="33" t="s">
        <v>521</v>
      </c>
      <c r="C44" s="55"/>
      <c r="E44" s="114"/>
      <c r="G44" s="55"/>
      <c r="H44" s="1"/>
      <c r="I44" s="114"/>
    </row>
    <row r="45" spans="2:9" ht="409.5">
      <c r="B45" s="35" t="s">
        <v>522</v>
      </c>
      <c r="C45" s="118">
        <f>C33</f>
        <v>-39</v>
      </c>
      <c r="D45" s="44">
        <f>D33</f>
        <v>0</v>
      </c>
      <c r="E45" s="118">
        <f>E33</f>
        <v>-39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523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527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529</v>
      </c>
      <c r="C52" s="120">
        <f>SUM(C45:C51)</f>
        <v>-39</v>
      </c>
      <c r="D52" s="40">
        <f>SUM(D45:D51)</f>
        <v>0</v>
      </c>
      <c r="E52" s="120">
        <f>SUM(E45:E51)</f>
        <v>-39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530</v>
      </c>
      <c r="C53" s="118"/>
      <c r="D53" s="1"/>
      <c r="E53" s="114"/>
      <c r="G53" s="118"/>
      <c r="H53" s="1"/>
      <c r="I53" s="114"/>
    </row>
    <row r="54" spans="2:9" ht="409.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536</v>
      </c>
      <c r="C60" s="123">
        <f>C52+C59</f>
        <v>-39</v>
      </c>
      <c r="D60" s="124">
        <f>D52+D59</f>
        <v>0</v>
      </c>
      <c r="E60" s="123">
        <f>E52+E59</f>
        <v>-39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537</v>
      </c>
      <c r="C62" s="60"/>
      <c r="D62" s="1"/>
      <c r="E62" s="114"/>
      <c r="G62" s="60"/>
      <c r="H62" s="1"/>
      <c r="I62" s="114"/>
    </row>
    <row r="63" spans="2:9" ht="409.5">
      <c r="B63" s="35" t="s">
        <v>538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539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540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541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542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528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543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545</v>
      </c>
      <c r="C73" s="118">
        <v>39</v>
      </c>
      <c r="D73" s="67">
        <v>0</v>
      </c>
      <c r="E73" s="125">
        <f aca="true" t="shared" si="3" ref="E73:E81">C73+D73</f>
        <v>39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546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954</v>
      </c>
      <c r="C75" s="118">
        <v>0</v>
      </c>
      <c r="D75" s="67"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955</v>
      </c>
      <c r="C76" s="118">
        <v>0</v>
      </c>
      <c r="D76" s="67"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547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548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549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550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528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543</v>
      </c>
      <c r="C82" s="120">
        <f>SUM(C72:C81)</f>
        <v>39</v>
      </c>
      <c r="D82" s="40">
        <f>SUM(D72:D81)</f>
        <v>0</v>
      </c>
      <c r="E82" s="120">
        <f>SUM(E72:E81)</f>
        <v>39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443</v>
      </c>
      <c r="D92" s="29" t="s">
        <v>443</v>
      </c>
      <c r="E92" s="28" t="s">
        <v>443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714</v>
      </c>
      <c r="I93" s="116" t="s">
        <v>501</v>
      </c>
      <c r="J93" s="158" t="s">
        <v>500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v>0</v>
      </c>
      <c r="D96" s="67">
        <v>0</v>
      </c>
      <c r="E96" s="125">
        <f>C96+D96</f>
        <v>0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560</v>
      </c>
      <c r="C98" s="118">
        <v>0</v>
      </c>
      <c r="D98" s="67">
        <v>0</v>
      </c>
      <c r="E98" s="125">
        <f>C98+D98</f>
        <v>0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556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571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572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569</v>
      </c>
      <c r="C120" s="120">
        <f>SUM(C111:C119)</f>
        <v>0</v>
      </c>
      <c r="D120" s="40">
        <f>SUM(D111:D119)</f>
        <v>0</v>
      </c>
      <c r="E120" s="120">
        <f>SUM(E111:E119)</f>
        <v>0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0</v>
      </c>
      <c r="D122" s="128">
        <f>D109+D120</f>
        <v>0</v>
      </c>
      <c r="E122" s="127">
        <f>E109+E120</f>
        <v>0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443</v>
      </c>
      <c r="D130" s="29" t="s">
        <v>443</v>
      </c>
      <c r="E130" s="28" t="s">
        <v>443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500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-39</v>
      </c>
      <c r="D133" s="67">
        <f>D45</f>
        <v>0</v>
      </c>
      <c r="E133" s="125">
        <f>C133+D133</f>
        <v>-39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-39</v>
      </c>
      <c r="D136" s="40">
        <f>SUM(D133:D135)</f>
        <v>0</v>
      </c>
      <c r="E136" s="120">
        <f>SUM(E133:E135)</f>
        <v>-39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590</v>
      </c>
      <c r="C150" s="118">
        <v>39</v>
      </c>
      <c r="D150" s="1">
        <v>0</v>
      </c>
      <c r="E150" s="125">
        <f t="shared" si="12"/>
        <v>39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594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595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596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597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598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599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592</v>
      </c>
      <c r="C158" s="120">
        <f>SUM(C148:C157)</f>
        <v>39</v>
      </c>
      <c r="D158" s="40">
        <f>SUM(D148:D157)</f>
        <v>0</v>
      </c>
      <c r="E158" s="120">
        <f>SUM(E148:E157)</f>
        <v>39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39</v>
      </c>
      <c r="D160" s="40">
        <f>D140+D146+D158</f>
        <v>0</v>
      </c>
      <c r="E160" s="120">
        <f>E140+E146+E158</f>
        <v>39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0</v>
      </c>
      <c r="D162" s="127">
        <f>D136+D160</f>
        <v>0</v>
      </c>
      <c r="E162" s="127">
        <f>E136+E160</f>
        <v>0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446</v>
      </c>
      <c r="D5" s="29" t="s">
        <v>446</v>
      </c>
      <c r="E5" s="28" t="s">
        <v>446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714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nr.2'!S1767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503</v>
      </c>
      <c r="C9" s="118">
        <v>0</v>
      </c>
      <c r="D9" s="67">
        <f>'Sundurliðun viðauka nr.2'!S1768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504</v>
      </c>
      <c r="C10" s="118">
        <v>90221</v>
      </c>
      <c r="D10" s="67">
        <f>'Sundurliðun viðauka nr.2'!S1769+'Sundurliðun viðauka nr.2'!S1770+'Sundurliðun viðauka nr.2'!S1772+'Sundurliðun viðauka nr.2'!S1773</f>
        <v>0</v>
      </c>
      <c r="E10" s="119">
        <f>C10+D10</f>
        <v>90221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90221</v>
      </c>
      <c r="D11" s="40">
        <f>SUM(D8:D10)</f>
        <v>0</v>
      </c>
      <c r="E11" s="120">
        <f>SUM(E8:E10)</f>
        <v>90221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0</v>
      </c>
      <c r="D14" s="67">
        <f>'Sundurliðun viðauka nr.2'!S1774</f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507</v>
      </c>
      <c r="C15" s="118">
        <v>87994</v>
      </c>
      <c r="D15" s="67">
        <f>0/1000+('Sundurliðun viðauka nr.2'!S1775+'Sundurliðun viðauka nr.2'!S1776+'Sundurliðun viðauka nr.2'!S1777+'Sundurliðun viðauka nr.2'!S1778+'Sundurliðun viðauka nr.2'!S1779+'Sundurliðun viðauka nr.2'!S1780+'Sundurliðun viðauka nr.2'!S1781)/1000</f>
        <v>0</v>
      </c>
      <c r="E15" s="119">
        <f>C15+D15</f>
        <v>87994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508</v>
      </c>
      <c r="C16" s="118">
        <v>1577</v>
      </c>
      <c r="D16" s="67">
        <f>'Sundurliðun viðauka nr.2'!S1783</f>
        <v>0</v>
      </c>
      <c r="E16" s="119">
        <f>C16+D16</f>
        <v>1577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89571</v>
      </c>
      <c r="D17" s="40">
        <f>SUM(D14:D16)</f>
        <v>0</v>
      </c>
      <c r="E17" s="120">
        <f>SUM(E14:E16)</f>
        <v>89571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0.007204531095864599</v>
      </c>
      <c r="D19" s="71" t="s">
        <v>1</v>
      </c>
      <c r="E19" s="68">
        <f>(E11-E17)/E11</f>
        <v>0.007204531095864599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483</v>
      </c>
      <c r="D20" s="67">
        <f>'Sundurliðun viðauka nr.2'!S1782</f>
        <v>0</v>
      </c>
      <c r="E20" s="119">
        <f>C20+D20</f>
        <v>483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511</v>
      </c>
      <c r="C21" s="120">
        <f>C11-C17-C20</f>
        <v>167</v>
      </c>
      <c r="D21" s="40">
        <f>D11-D17-D20</f>
        <v>0</v>
      </c>
      <c r="E21" s="120">
        <f>E11-E17-E20</f>
        <v>167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-150</v>
      </c>
      <c r="D24" s="40">
        <f>'Sundurliðun viðauka nr.2'!S1784</f>
        <v>0</v>
      </c>
      <c r="E24" s="120">
        <f>C24+D24</f>
        <v>-150</v>
      </c>
      <c r="G24" s="120">
        <v>-10604</v>
      </c>
      <c r="H24" s="40">
        <f>D24</f>
        <v>0</v>
      </c>
      <c r="I24" s="120">
        <f>G24+H24</f>
        <v>-10604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513</v>
      </c>
      <c r="C26" s="118">
        <f>C21+C24</f>
        <v>17</v>
      </c>
      <c r="D26" s="44">
        <f>D21+D24</f>
        <v>0</v>
      </c>
      <c r="E26" s="118">
        <f>E21+E24</f>
        <v>17</v>
      </c>
      <c r="G26" s="118"/>
      <c r="H26" s="44"/>
      <c r="I26" s="118"/>
    </row>
    <row r="27" spans="2:9" ht="409.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516</v>
      </c>
      <c r="C30" s="118">
        <f>C26+C29</f>
        <v>17</v>
      </c>
      <c r="D30" s="44">
        <f>D26+D29</f>
        <v>0</v>
      </c>
      <c r="E30" s="118">
        <f>E26+E29</f>
        <v>17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409.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17</v>
      </c>
      <c r="D33" s="124">
        <f>SUM(D30:D32)</f>
        <v>0</v>
      </c>
      <c r="E33" s="123">
        <f>SUM(E30:E32)</f>
        <v>17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409.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446</v>
      </c>
      <c r="D42" s="29" t="s">
        <v>446</v>
      </c>
      <c r="E42" s="28" t="s">
        <v>446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409.5">
      <c r="B44" s="33" t="s">
        <v>521</v>
      </c>
      <c r="C44" s="55"/>
      <c r="E44" s="114"/>
      <c r="G44" s="55"/>
      <c r="H44" s="1"/>
      <c r="I44" s="114"/>
    </row>
    <row r="45" spans="2:9" ht="409.5">
      <c r="B45" s="35" t="s">
        <v>522</v>
      </c>
      <c r="C45" s="118">
        <f>C33</f>
        <v>17</v>
      </c>
      <c r="D45" s="44">
        <f>D33</f>
        <v>0</v>
      </c>
      <c r="E45" s="118">
        <f>E33</f>
        <v>17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523</v>
      </c>
      <c r="C46" s="118">
        <f>C20</f>
        <v>483</v>
      </c>
      <c r="D46" s="44">
        <f>D20</f>
        <v>0</v>
      </c>
      <c r="E46" s="118">
        <f>E20</f>
        <v>483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527</v>
      </c>
      <c r="C50" s="118">
        <f>C16</f>
        <v>1577</v>
      </c>
      <c r="D50" s="44">
        <f>D16</f>
        <v>0</v>
      </c>
      <c r="E50" s="118">
        <f>E16</f>
        <v>1577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529</v>
      </c>
      <c r="C52" s="120">
        <f>SUM(C45:C51)</f>
        <v>2077</v>
      </c>
      <c r="D52" s="40">
        <f>SUM(D45:D51)</f>
        <v>0</v>
      </c>
      <c r="E52" s="120">
        <f>SUM(E45:E51)</f>
        <v>2077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530</v>
      </c>
      <c r="C53" s="118"/>
      <c r="D53" s="1"/>
      <c r="E53" s="114"/>
      <c r="G53" s="118"/>
      <c r="H53" s="1"/>
      <c r="I53" s="114"/>
    </row>
    <row r="54" spans="2:9" ht="409.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536</v>
      </c>
      <c r="C60" s="123">
        <f>C52+C59</f>
        <v>2077</v>
      </c>
      <c r="D60" s="124">
        <f>D52+D59</f>
        <v>0</v>
      </c>
      <c r="E60" s="123">
        <f>E52+E59</f>
        <v>2077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537</v>
      </c>
      <c r="C62" s="60"/>
      <c r="D62" s="1"/>
      <c r="E62" s="114"/>
      <c r="G62" s="60"/>
      <c r="H62" s="1"/>
      <c r="I62" s="114"/>
    </row>
    <row r="63" spans="2:9" ht="409.5">
      <c r="B63" s="35" t="s">
        <v>538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539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540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541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542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528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543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545</v>
      </c>
      <c r="C73" s="118">
        <v>-2077</v>
      </c>
      <c r="D73" s="67">
        <v>0</v>
      </c>
      <c r="E73" s="125">
        <f aca="true" t="shared" si="3" ref="E73:E81">C73+D73</f>
        <v>-2077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546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954</v>
      </c>
      <c r="C75" s="118">
        <v>0</v>
      </c>
      <c r="D75" s="67"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955</v>
      </c>
      <c r="C76" s="118">
        <v>0</v>
      </c>
      <c r="D76" s="67"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547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548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549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550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528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543</v>
      </c>
      <c r="C82" s="120">
        <f>SUM(C72:C81)</f>
        <v>-2077</v>
      </c>
      <c r="D82" s="40">
        <f>SUM(D72:D81)</f>
        <v>0</v>
      </c>
      <c r="E82" s="120">
        <f>SUM(E72:E81)</f>
        <v>-2077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446</v>
      </c>
      <c r="D92" s="29" t="s">
        <v>446</v>
      </c>
      <c r="E92" s="28" t="s">
        <v>446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714</v>
      </c>
      <c r="I93" s="116" t="s">
        <v>501</v>
      </c>
      <c r="J93" s="158" t="s">
        <v>500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f>6378+4590</f>
        <v>10968</v>
      </c>
      <c r="D96" s="67">
        <v>0</v>
      </c>
      <c r="E96" s="125">
        <f>C96+D96</f>
        <v>10968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560</v>
      </c>
      <c r="C98" s="118">
        <v>754</v>
      </c>
      <c r="D98" s="67">
        <v>0</v>
      </c>
      <c r="E98" s="125">
        <f>C98+D98</f>
        <v>754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11722</v>
      </c>
      <c r="D100" s="40">
        <f>SUM(D96:D99)</f>
        <v>0</v>
      </c>
      <c r="E100" s="120">
        <f>SUM(E96:E99)</f>
        <v>11722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556</v>
      </c>
      <c r="C109" s="120">
        <f>C100+C108</f>
        <v>11722</v>
      </c>
      <c r="D109" s="40">
        <f>D100+D108</f>
        <v>0</v>
      </c>
      <c r="E109" s="120">
        <f>E100+E108</f>
        <v>11722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571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572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569</v>
      </c>
      <c r="C120" s="120">
        <f>SUM(C111:C119)</f>
        <v>0</v>
      </c>
      <c r="D120" s="40">
        <f>SUM(D111:D119)</f>
        <v>0</v>
      </c>
      <c r="E120" s="120">
        <f>SUM(E111:E119)</f>
        <v>0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11722</v>
      </c>
      <c r="D122" s="128">
        <f>D109+D120</f>
        <v>0</v>
      </c>
      <c r="E122" s="127">
        <f>E109+E120</f>
        <v>11722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446</v>
      </c>
      <c r="D130" s="29" t="s">
        <v>446</v>
      </c>
      <c r="E130" s="28" t="s">
        <v>446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500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-9902</v>
      </c>
      <c r="D133" s="67">
        <f>D45</f>
        <v>0</v>
      </c>
      <c r="E133" s="125">
        <f>C133+D133</f>
        <v>-9902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-9902</v>
      </c>
      <c r="D136" s="40">
        <f>SUM(D133:D135)</f>
        <v>0</v>
      </c>
      <c r="E136" s="120">
        <f>SUM(E133:E135)</f>
        <v>-9902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20533</v>
      </c>
      <c r="D138" s="67">
        <f>D50</f>
        <v>0</v>
      </c>
      <c r="E138" s="125">
        <f>C138+D138</f>
        <v>20533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20533</v>
      </c>
      <c r="D140" s="40">
        <f>SUM(D138:D139)</f>
        <v>0</v>
      </c>
      <c r="E140" s="120">
        <f>SUM(E138:E139)</f>
        <v>20533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590</v>
      </c>
      <c r="C150" s="118">
        <v>1091</v>
      </c>
      <c r="D150" s="1">
        <v>0</v>
      </c>
      <c r="E150" s="125">
        <f t="shared" si="12"/>
        <v>1091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594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595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596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597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598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599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592</v>
      </c>
      <c r="C158" s="120">
        <f>SUM(C148:C157)</f>
        <v>1091</v>
      </c>
      <c r="D158" s="40">
        <f>SUM(D148:D157)</f>
        <v>0</v>
      </c>
      <c r="E158" s="120">
        <f>SUM(E148:E157)</f>
        <v>1091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21624</v>
      </c>
      <c r="D160" s="40">
        <f>D140+D146+D158</f>
        <v>0</v>
      </c>
      <c r="E160" s="120">
        <f>E140+E146+E158</f>
        <v>21624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11722</v>
      </c>
      <c r="D162" s="127">
        <f>D136+D160</f>
        <v>0</v>
      </c>
      <c r="E162" s="127">
        <f>E136+E160</f>
        <v>11722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710937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962</v>
      </c>
      <c r="D5" s="29" t="s">
        <v>962</v>
      </c>
      <c r="E5" s="28" t="s">
        <v>962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714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nr.2'!T1767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503</v>
      </c>
      <c r="C9" s="118">
        <v>0</v>
      </c>
      <c r="D9" s="67">
        <f>'Sundurliðun viðauka nr.2'!T1768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504</v>
      </c>
      <c r="C10" s="118">
        <f>716464+95816+16871</f>
        <v>829151</v>
      </c>
      <c r="D10" s="67">
        <f>-('Sundurliðun viðauka nr.2'!T1769+'Sundurliðun viðauka nr.2'!T1770+'Sundurliðun viðauka nr.2'!T1772+'Sundurliðun viðauka nr.2'!T1773)/1000</f>
        <v>0</v>
      </c>
      <c r="E10" s="119">
        <f>C10+D10</f>
        <v>829151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829151</v>
      </c>
      <c r="D11" s="40">
        <f>SUM(D8:D10)</f>
        <v>0</v>
      </c>
      <c r="E11" s="120">
        <f>SUM(E8:E10)</f>
        <v>829151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646990</v>
      </c>
      <c r="D14" s="67">
        <f>'Sundurliðun viðauka nr.2'!T1774/1000</f>
        <v>0</v>
      </c>
      <c r="E14" s="119">
        <f>C14+D14</f>
        <v>646990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507</v>
      </c>
      <c r="C15" s="118">
        <v>154055</v>
      </c>
      <c r="D15" s="67">
        <f>('Sundurliðun viðauka nr.2'!T1775+'Sundurliðun viðauka nr.2'!T1776+'Sundurliðun viðauka nr.2'!T1777+'Sundurliðun viðauka nr.2'!T1778+'Sundurliðun viðauka nr.2'!T1779+'Sundurliðun viðauka nr.2'!T1780+'Sundurliðun viðauka nr.2'!T1781)/1000</f>
        <v>0</v>
      </c>
      <c r="E15" s="119">
        <f>C15+D15</f>
        <v>154055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508</v>
      </c>
      <c r="C16" s="118">
        <v>0</v>
      </c>
      <c r="D16" s="67">
        <f>'Sundurliðun viðauka nr.2'!T1783/1000</f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801045</v>
      </c>
      <c r="D17" s="40">
        <f>SUM(D14:D16)</f>
        <v>0</v>
      </c>
      <c r="E17" s="120">
        <f>SUM(E14:E16)</f>
        <v>801045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0.03389732388913479</v>
      </c>
      <c r="D19" s="71" t="s">
        <v>1</v>
      </c>
      <c r="E19" s="68">
        <f>(E11-E17)/E11</f>
        <v>0.03389732388913479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25314</v>
      </c>
      <c r="D20" s="67">
        <f>'Sundurliðun viðauka nr.2'!T1782</f>
        <v>0</v>
      </c>
      <c r="E20" s="119">
        <f>C20+D20</f>
        <v>25314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511</v>
      </c>
      <c r="C21" s="120">
        <f>C11-C17-C20</f>
        <v>2792</v>
      </c>
      <c r="D21" s="40">
        <f>D11-D17-D20</f>
        <v>0</v>
      </c>
      <c r="E21" s="120">
        <f>E11-E17-E20</f>
        <v>2792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-17330</v>
      </c>
      <c r="D24" s="40">
        <f>'Sundurliðun viðauka nr.2'!T1784</f>
        <v>0</v>
      </c>
      <c r="E24" s="120">
        <f>C24+D24</f>
        <v>-17330</v>
      </c>
      <c r="G24" s="120">
        <v>-10604</v>
      </c>
      <c r="H24" s="40">
        <f>D24</f>
        <v>0</v>
      </c>
      <c r="I24" s="120">
        <f>G24+H24</f>
        <v>-10604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513</v>
      </c>
      <c r="C26" s="118"/>
      <c r="D26" s="44"/>
      <c r="E26" s="118"/>
      <c r="G26" s="118"/>
      <c r="H26" s="44"/>
      <c r="I26" s="118"/>
    </row>
    <row r="27" spans="2:9" ht="409.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516</v>
      </c>
      <c r="C30" s="118">
        <f>C21+C24+C29</f>
        <v>-14538</v>
      </c>
      <c r="D30" s="44">
        <f>D21+D24+D29</f>
        <v>0</v>
      </c>
      <c r="E30" s="118">
        <f>E21+E24+E29</f>
        <v>-14538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409.5">
      <c r="B31" s="35" t="s">
        <v>517</v>
      </c>
      <c r="C31" s="121">
        <v>0</v>
      </c>
      <c r="D31" s="48">
        <f>-('Sundurliðun viðauka nr.2'!T1785)/1000</f>
        <v>0</v>
      </c>
      <c r="E31" s="121">
        <f>C31+D31</f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-14538</v>
      </c>
      <c r="D33" s="124">
        <f>SUM(D30:D32)</f>
        <v>0</v>
      </c>
      <c r="E33" s="123">
        <f>SUM(E30:E32)</f>
        <v>-14538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409.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962</v>
      </c>
      <c r="D42" s="29" t="s">
        <v>962</v>
      </c>
      <c r="E42" s="28" t="s">
        <v>962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409.5">
      <c r="B44" s="33" t="s">
        <v>521</v>
      </c>
      <c r="C44" s="55"/>
      <c r="E44" s="114"/>
      <c r="G44" s="55"/>
      <c r="H44" s="1"/>
      <c r="I44" s="114"/>
    </row>
    <row r="45" spans="2:9" ht="409.5">
      <c r="B45" s="35" t="s">
        <v>522</v>
      </c>
      <c r="C45" s="118">
        <f>C33</f>
        <v>-14538</v>
      </c>
      <c r="D45" s="44">
        <f>D33</f>
        <v>0</v>
      </c>
      <c r="E45" s="118">
        <f>E33</f>
        <v>-14538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523</v>
      </c>
      <c r="C46" s="118">
        <f>C20</f>
        <v>25314</v>
      </c>
      <c r="D46" s="44">
        <f>D20</f>
        <v>0</v>
      </c>
      <c r="E46" s="118">
        <f>E20</f>
        <v>25314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524</v>
      </c>
      <c r="C47" s="118">
        <v>10000</v>
      </c>
      <c r="D47" s="1">
        <v>0</v>
      </c>
      <c r="E47" s="125">
        <f>C47+D47</f>
        <v>10000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527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529</v>
      </c>
      <c r="C52" s="120">
        <f>SUM(C45:C51)</f>
        <v>20776</v>
      </c>
      <c r="D52" s="40">
        <f>SUM(D45:D51)</f>
        <v>0</v>
      </c>
      <c r="E52" s="120">
        <f>SUM(E45:E51)</f>
        <v>20776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530</v>
      </c>
      <c r="C53" s="118"/>
      <c r="D53" s="1"/>
      <c r="E53" s="114"/>
      <c r="G53" s="118"/>
      <c r="H53" s="1"/>
      <c r="I53" s="114"/>
    </row>
    <row r="54" spans="2:9" ht="409.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533</v>
      </c>
      <c r="C56" s="118">
        <v>-390</v>
      </c>
      <c r="D56" s="2">
        <v>0</v>
      </c>
      <c r="E56" s="125">
        <f>C56+D56</f>
        <v>-390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534</v>
      </c>
      <c r="C57" s="118">
        <v>2820</v>
      </c>
      <c r="D57" s="2">
        <v>0</v>
      </c>
      <c r="E57" s="125">
        <f>C57+D57</f>
        <v>2820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530</v>
      </c>
      <c r="C59" s="121">
        <f>SUM(C54:C58)</f>
        <v>2430</v>
      </c>
      <c r="D59" s="48">
        <f>SUM(D54:D58)</f>
        <v>0</v>
      </c>
      <c r="E59" s="121">
        <f>SUM(E54:E58)</f>
        <v>2430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536</v>
      </c>
      <c r="C60" s="123">
        <f>C52+C59</f>
        <v>23206</v>
      </c>
      <c r="D60" s="124">
        <f>D52+D59</f>
        <v>0</v>
      </c>
      <c r="E60" s="123">
        <f>E52+E59</f>
        <v>23206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537</v>
      </c>
      <c r="C62" s="60"/>
      <c r="D62" s="1"/>
      <c r="E62" s="114"/>
      <c r="G62" s="60"/>
      <c r="H62" s="1"/>
      <c r="I62" s="114"/>
    </row>
    <row r="63" spans="2:9" ht="409.5">
      <c r="B63" s="35" t="s">
        <v>538</v>
      </c>
      <c r="C63" s="118">
        <v>0</v>
      </c>
      <c r="D63" s="67">
        <f>-'Sundurliðun viðauka nr.2'!T1798/1000</f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539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540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541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542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528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543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545</v>
      </c>
      <c r="C73" s="118">
        <v>0</v>
      </c>
      <c r="D73" s="67">
        <v>0</v>
      </c>
      <c r="E73" s="125">
        <f aca="true" t="shared" si="3" ref="E73:E81">C73+D73</f>
        <v>0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546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954</v>
      </c>
      <c r="C75" s="118">
        <v>0</v>
      </c>
      <c r="D75" s="67">
        <f>0/1000</f>
        <v>0</v>
      </c>
      <c r="E75" s="125">
        <f t="shared" si="3"/>
        <v>0</v>
      </c>
      <c r="G75" s="118"/>
      <c r="H75" s="67"/>
      <c r="I75" s="125"/>
    </row>
    <row r="76" spans="2:9" ht="409.5" outlineLevel="1">
      <c r="B76" s="35" t="s">
        <v>955</v>
      </c>
      <c r="C76" s="118">
        <v>0</v>
      </c>
      <c r="D76" s="67">
        <f>'Sundurliðun viðauka nr.2'!H1754/1000</f>
        <v>0</v>
      </c>
      <c r="E76" s="125">
        <f t="shared" si="3"/>
        <v>0</v>
      </c>
      <c r="G76" s="118"/>
      <c r="H76" s="67"/>
      <c r="I76" s="125"/>
    </row>
    <row r="77" spans="2:9" ht="409.5">
      <c r="B77" s="35" t="s">
        <v>547</v>
      </c>
      <c r="C77" s="118">
        <v>-16628</v>
      </c>
      <c r="D77" s="67">
        <v>0</v>
      </c>
      <c r="E77" s="125">
        <f t="shared" si="3"/>
        <v>-16628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548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549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550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528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543</v>
      </c>
      <c r="C82" s="120">
        <f>SUM(C72:C81)</f>
        <v>-16628</v>
      </c>
      <c r="D82" s="40">
        <f>SUM(D72:D81)</f>
        <v>0</v>
      </c>
      <c r="E82" s="120">
        <f>SUM(E72:E81)</f>
        <v>-16628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6578</v>
      </c>
      <c r="D84" s="44">
        <f>D60+D69+D82</f>
        <v>0</v>
      </c>
      <c r="E84" s="118">
        <f>E60+E69+E82</f>
        <v>6578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552</v>
      </c>
      <c r="C85" s="121">
        <v>103869</v>
      </c>
      <c r="D85" s="48">
        <v>0</v>
      </c>
      <c r="E85" s="121">
        <f>C85+D85</f>
        <v>103869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553</v>
      </c>
      <c r="C86" s="123">
        <f>SUM(C84:C85)</f>
        <v>110447</v>
      </c>
      <c r="D86" s="124">
        <f>SUM(D84:D85)</f>
        <v>0</v>
      </c>
      <c r="E86" s="123">
        <f>SUM(E84:E85)</f>
        <v>110447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962</v>
      </c>
      <c r="D92" s="29" t="s">
        <v>962</v>
      </c>
      <c r="E92" s="28" t="s">
        <v>962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714</v>
      </c>
      <c r="I93" s="116" t="s">
        <v>501</v>
      </c>
      <c r="J93" s="158" t="s">
        <v>500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v>499938</v>
      </c>
      <c r="D96" s="67">
        <f>-D46-D63</f>
        <v>0</v>
      </c>
      <c r="E96" s="125">
        <f>C96+D96</f>
        <v>499938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560</v>
      </c>
      <c r="C98" s="118">
        <v>26269</v>
      </c>
      <c r="D98" s="67">
        <v>0</v>
      </c>
      <c r="E98" s="125">
        <f>C98+D98</f>
        <v>26269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526207</v>
      </c>
      <c r="D100" s="40">
        <f>SUM(D96:D99)</f>
        <v>0</v>
      </c>
      <c r="E100" s="120">
        <f>SUM(E96:E99)</f>
        <v>526207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556</v>
      </c>
      <c r="C109" s="120">
        <f>C100+C108</f>
        <v>526207</v>
      </c>
      <c r="D109" s="40">
        <f>D100+D108</f>
        <v>0</v>
      </c>
      <c r="E109" s="120">
        <f>E100+E108</f>
        <v>526207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571</v>
      </c>
      <c r="C112" s="118">
        <v>8549</v>
      </c>
      <c r="D112" s="67">
        <v>0</v>
      </c>
      <c r="E112" s="125">
        <f aca="true" t="shared" si="9" ref="E112:E118">C112+D112</f>
        <v>8549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572</v>
      </c>
      <c r="C113" s="118">
        <v>0</v>
      </c>
      <c r="D113" s="67"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573</v>
      </c>
      <c r="C114" s="118">
        <v>4841</v>
      </c>
      <c r="D114" s="67">
        <v>0</v>
      </c>
      <c r="E114" s="125">
        <f t="shared" si="9"/>
        <v>4841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f>C86</f>
        <v>110447</v>
      </c>
      <c r="D119" s="44">
        <f>D84</f>
        <v>0</v>
      </c>
      <c r="E119" s="118">
        <f>C119+D119</f>
        <v>110447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569</v>
      </c>
      <c r="C120" s="120">
        <f>SUM(C111:C119)</f>
        <v>123837</v>
      </c>
      <c r="D120" s="40">
        <f>SUM(D111:D119)</f>
        <v>0</v>
      </c>
      <c r="E120" s="120">
        <f>SUM(E111:E119)</f>
        <v>123837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650044</v>
      </c>
      <c r="D122" s="128">
        <f>D109+D120</f>
        <v>0</v>
      </c>
      <c r="E122" s="127">
        <f>E109+E120</f>
        <v>650044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962</v>
      </c>
      <c r="D130" s="29" t="s">
        <v>962</v>
      </c>
      <c r="E130" s="28" t="s">
        <v>962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500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251305</v>
      </c>
      <c r="D133" s="67">
        <f>D45</f>
        <v>0</v>
      </c>
      <c r="E133" s="125">
        <f>C133+D133</f>
        <v>251305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251305</v>
      </c>
      <c r="D136" s="40">
        <f>SUM(D133:D135)</f>
        <v>0</v>
      </c>
      <c r="E136" s="120">
        <f>SUM(E133:E135)</f>
        <v>251305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0</v>
      </c>
      <c r="D138" s="67">
        <f>D50+D75+D76-D152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285291</v>
      </c>
      <c r="D142" s="1">
        <v>0</v>
      </c>
      <c r="E142" s="125">
        <f>C142+D142</f>
        <v>285291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285291</v>
      </c>
      <c r="D146" s="40">
        <f>SUM(D142:D145)</f>
        <v>0</v>
      </c>
      <c r="E146" s="120">
        <f>SUM(E142:E145)</f>
        <v>285291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67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25750</v>
      </c>
      <c r="D149" s="67">
        <v>0</v>
      </c>
      <c r="E149" s="125">
        <f aca="true" t="shared" si="12" ref="E149:E157">C149+D149</f>
        <v>25750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590</v>
      </c>
      <c r="C150" s="118">
        <v>0</v>
      </c>
      <c r="D150" s="67">
        <v>0</v>
      </c>
      <c r="E150" s="125">
        <f t="shared" si="12"/>
        <v>0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594</v>
      </c>
      <c r="C151" s="118">
        <v>16628</v>
      </c>
      <c r="D151" s="67">
        <v>0</v>
      </c>
      <c r="E151" s="125">
        <f t="shared" si="12"/>
        <v>16628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595</v>
      </c>
      <c r="C152" s="118">
        <v>0</v>
      </c>
      <c r="D152" s="67">
        <f>0/1000</f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596</v>
      </c>
      <c r="C153" s="118">
        <v>0</v>
      </c>
      <c r="D153" s="67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597</v>
      </c>
      <c r="C154" s="118">
        <v>0</v>
      </c>
      <c r="D154" s="67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598</v>
      </c>
      <c r="C155" s="118">
        <v>0</v>
      </c>
      <c r="D155" s="67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599</v>
      </c>
      <c r="C156" s="118">
        <v>71070</v>
      </c>
      <c r="D156" s="67">
        <v>0</v>
      </c>
      <c r="E156" s="125">
        <f t="shared" si="12"/>
        <v>71070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600</v>
      </c>
      <c r="C157" s="118">
        <v>0</v>
      </c>
      <c r="D157" s="67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592</v>
      </c>
      <c r="C158" s="120">
        <f>SUM(C148:C157)</f>
        <v>113448</v>
      </c>
      <c r="D158" s="40">
        <f>SUM(D148:D157)</f>
        <v>0</v>
      </c>
      <c r="E158" s="120">
        <f>SUM(E148:E157)</f>
        <v>113448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398739</v>
      </c>
      <c r="D160" s="40">
        <f>D140+D146+D158</f>
        <v>0</v>
      </c>
      <c r="E160" s="120">
        <f>E140+E146+E158</f>
        <v>398739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650044</v>
      </c>
      <c r="D162" s="127">
        <f>D136+D160</f>
        <v>0</v>
      </c>
      <c r="E162" s="127">
        <f>E136+E160</f>
        <v>650044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30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2.421875" style="0" customWidth="1"/>
    <col min="3" max="3" width="10.140625" style="0" customWidth="1"/>
    <col min="4" max="4" width="9.710937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638</v>
      </c>
      <c r="D5" s="29" t="s">
        <v>638</v>
      </c>
      <c r="E5" s="28" t="s">
        <v>638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714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F.ehf'!C8+'rekst - sjóðstr - efnah - Háhit'!C8+'rekst - sjóðstr - efnah - Gáma'!C8+'rekst - sjóðstr - efnah - Höfði'!C8</f>
        <v>0</v>
      </c>
      <c r="D8" s="67">
        <f>'rekst - sjóðstr - efnah - F.ehf'!D8+'rekst - sjóðstr - efnah - Gáma'!D8+'rekst - sjóðstr - efnah - Höfði'!D8</f>
        <v>0</v>
      </c>
      <c r="E8" s="119">
        <f>C8+D8</f>
        <v>0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503</v>
      </c>
      <c r="C9" s="118">
        <f>'rekst - sjóðstr - efnah - F.ehf'!C9+'rekst - sjóðstr - efnah - Háhit'!C9+'rekst - sjóðstr - efnah - Gáma'!C9+'rekst - sjóðstr - efnah - Höfði'!C9</f>
        <v>0</v>
      </c>
      <c r="D9" s="67">
        <f>'rekst - sjóðstr - efnah - F.ehf'!D9+'rekst - sjóðstr - efnah - Gáma'!D9+'rekst - sjóðstr - efnah - Höfði'!D9</f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504</v>
      </c>
      <c r="C10" s="118">
        <f>'rekst - sjóðstr - efnah - F.ehf'!C10+'rekst - sjóðstr - efnah - Háhit'!C10+'rekst - sjóðstr - efnah - Gáma'!C10+'rekst - sjóðstr - efnah - Höfði'!C10</f>
        <v>919372</v>
      </c>
      <c r="D10" s="67">
        <f>'rekst - sjóðstr - efnah - F.ehf'!D10+'rekst - sjóðstr - efnah - Gáma'!D10+'rekst - sjóðstr - efnah - Höfði'!D10</f>
        <v>0</v>
      </c>
      <c r="E10" s="119">
        <f>C10+D10</f>
        <v>919372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919372</v>
      </c>
      <c r="D11" s="40">
        <f>SUM(D8:D10)</f>
        <v>0</v>
      </c>
      <c r="E11" s="120">
        <f>SUM(E8:E10)</f>
        <v>919372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f>'rekst - sjóðstr - efnah - F.ehf'!C14+'rekst - sjóðstr - efnah - Háhit'!C14+'rekst - sjóðstr - efnah - Gáma'!C14+'rekst - sjóðstr - efnah - Höfði'!C14</f>
        <v>646990</v>
      </c>
      <c r="D14" s="67">
        <f>'rekst - sjóðstr - efnah - F.ehf'!D14+'rekst - sjóðstr - efnah - Gáma'!D14+'rekst - sjóðstr - efnah - Höfði'!D14</f>
        <v>0</v>
      </c>
      <c r="E14" s="119">
        <f>C14+D14</f>
        <v>646990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507</v>
      </c>
      <c r="C15" s="118">
        <f>'rekst - sjóðstr - efnah - F.ehf'!C15+'rekst - sjóðstr - efnah - Háhit'!C15+'rekst - sjóðstr - efnah - Gáma'!C15+'rekst - sjóðstr - efnah - Höfði'!C15</f>
        <v>242074</v>
      </c>
      <c r="D15" s="67">
        <f>'rekst - sjóðstr - efnah - F.ehf'!D15+'rekst - sjóðstr - efnah - Gáma'!D15+'rekst - sjóðstr - efnah - Höfði'!D15</f>
        <v>0</v>
      </c>
      <c r="E15" s="119">
        <f>C15+D15</f>
        <v>242074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508</v>
      </c>
      <c r="C16" s="118">
        <f>'rekst - sjóðstr - efnah - F.ehf'!C16+'rekst - sjóðstr - efnah - Háhit'!C16+'rekst - sjóðstr - efnah - Gáma'!C16+'rekst - sjóðstr - efnah - Höfði'!C16</f>
        <v>1577</v>
      </c>
      <c r="D16" s="67">
        <f>'rekst - sjóðstr - efnah - F.ehf'!D16+'rekst - sjóðstr - efnah - Gáma'!D16+'rekst - sjóðstr - efnah - Höfði'!D16</f>
        <v>0</v>
      </c>
      <c r="E16" s="119">
        <f>C16+D16</f>
        <v>1577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890641</v>
      </c>
      <c r="D17" s="40">
        <f>SUM(D14:D16)</f>
        <v>0</v>
      </c>
      <c r="E17" s="120">
        <f>SUM(E14:E16)</f>
        <v>890641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0.03125067981187158</v>
      </c>
      <c r="D19" s="71" t="e">
        <f>(D11-D17)/D11</f>
        <v>#DIV/0!</v>
      </c>
      <c r="E19" s="68">
        <f>(E11-E17)/E11</f>
        <v>0.03125067981187158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f>'rekst - sjóðstr - efnah - F.ehf'!C20+'rekst - sjóðstr - efnah - Háhit'!C20+'rekst - sjóðstr - efnah - Gáma'!C20+'rekst - sjóðstr - efnah - Höfði'!C20</f>
        <v>25797</v>
      </c>
      <c r="D20" s="67">
        <f>'rekst - sjóðstr - efnah - F.ehf'!D20+'rekst - sjóðstr - efnah - Gáma'!D20+'rekst - sjóðstr - efnah - Höfði'!D20</f>
        <v>0</v>
      </c>
      <c r="E20" s="119">
        <f>C20+D20</f>
        <v>25797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511</v>
      </c>
      <c r="C21" s="120">
        <f>C11-C17-C20</f>
        <v>2934</v>
      </c>
      <c r="D21" s="40">
        <f>D11-D17-D20</f>
        <v>0</v>
      </c>
      <c r="E21" s="120">
        <f>E11-E17-E20</f>
        <v>2934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f>'rekst - sjóðstr - efnah - F.ehf'!C24+'rekst - sjóðstr - efnah - Háhit'!C24+'rekst - sjóðstr - efnah - Gáma'!C24+'rekst - sjóðstr - efnah - Höfði'!C24</f>
        <v>-17507</v>
      </c>
      <c r="D24" s="40">
        <f>'rekst - sjóðstr - efnah - F.ehf'!D24+'rekst - sjóðstr - efnah - Gáma'!D24+'rekst - sjóðstr - efnah - Höfði'!D24</f>
        <v>0</v>
      </c>
      <c r="E24" s="120">
        <f>C24+D24</f>
        <v>-17507</v>
      </c>
      <c r="G24" s="120">
        <v>-10604</v>
      </c>
      <c r="H24" s="40">
        <f>D24</f>
        <v>0</v>
      </c>
      <c r="I24" s="120">
        <f>G24+H24</f>
        <v>-10604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-14573</v>
      </c>
      <c r="D26" s="44">
        <f>D21+D24</f>
        <v>0</v>
      </c>
      <c r="E26" s="118">
        <f>E21+E24</f>
        <v>-14573</v>
      </c>
      <c r="G26" s="118"/>
      <c r="H26" s="44"/>
      <c r="I26" s="118"/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-14573</v>
      </c>
      <c r="D30" s="44">
        <f>D26+D29</f>
        <v>0</v>
      </c>
      <c r="E30" s="118">
        <f>E26+E29</f>
        <v>-14573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12.75">
      <c r="B31" s="35" t="s">
        <v>517</v>
      </c>
      <c r="C31" s="121">
        <v>0</v>
      </c>
      <c r="D31" s="48">
        <f>'rekst - sjóðstr - efnah - F.ehf'!D31+'rekst - sjóðstr - efnah - Gáma'!D31+'rekst - sjóðstr - efnah - Höfði'!D31</f>
        <v>0</v>
      </c>
      <c r="E31" s="121">
        <f>C31+D31</f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-14573</v>
      </c>
      <c r="D33" s="124">
        <f>SUM(D30:D32)</f>
        <v>0</v>
      </c>
      <c r="E33" s="123">
        <f>SUM(E30:E32)</f>
        <v>-14573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638</v>
      </c>
      <c r="D42" s="29" t="s">
        <v>638</v>
      </c>
      <c r="E42" s="28" t="s">
        <v>638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12.75">
      <c r="B44" s="33" t="s">
        <v>521</v>
      </c>
      <c r="C44" s="55"/>
      <c r="E44" s="114"/>
      <c r="G44" s="55"/>
      <c r="H44" s="1"/>
      <c r="I44" s="114"/>
    </row>
    <row r="45" spans="2:9" ht="12.75">
      <c r="B45" s="35" t="s">
        <v>522</v>
      </c>
      <c r="C45" s="118">
        <f>C33</f>
        <v>-14573</v>
      </c>
      <c r="D45" s="44">
        <f>D33</f>
        <v>0</v>
      </c>
      <c r="E45" s="118">
        <f>E33</f>
        <v>-14573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12.75">
      <c r="B46" s="35" t="s">
        <v>523</v>
      </c>
      <c r="C46" s="118">
        <f>C20</f>
        <v>25797</v>
      </c>
      <c r="D46" s="44">
        <f>D20</f>
        <v>0</v>
      </c>
      <c r="E46" s="118">
        <f>E20</f>
        <v>25797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12.75">
      <c r="B47" s="35" t="s">
        <v>524</v>
      </c>
      <c r="C47" s="118">
        <f>'rekst - sjóðstr - efnah - F.ehf'!C47+'rekst - sjóðstr - efnah - Háhit'!C47+'rekst - sjóðstr - efnah - Gáma'!C47+'rekst - sjóðstr - efnah - Höfði'!C47</f>
        <v>10000</v>
      </c>
      <c r="D47" s="67">
        <f>'rekst - sjóðstr - efnah - F.ehf'!D47+'rekst - sjóðstr - efnah - Gáma'!D47+'rekst - sjóðstr - efnah - Höfði'!D47</f>
        <v>0</v>
      </c>
      <c r="E47" s="125">
        <f>C47+D47</f>
        <v>10000</v>
      </c>
      <c r="G47" s="118">
        <v>38085</v>
      </c>
      <c r="H47" s="67">
        <f>D47</f>
        <v>0</v>
      </c>
      <c r="I47" s="125">
        <f>G47+H47</f>
        <v>38085</v>
      </c>
    </row>
    <row r="48" spans="2:9" ht="12.75">
      <c r="B48" s="35" t="s">
        <v>525</v>
      </c>
      <c r="C48" s="118">
        <f>'rekst - sjóðstr - efnah - F.ehf'!C48+'rekst - sjóðstr - efnah - Háhit'!C48+'rekst - sjóðstr - efnah - Gáma'!C48+'rekst - sjóðstr - efnah - Höfði'!C48</f>
        <v>0</v>
      </c>
      <c r="D48" s="67">
        <f>'rekst - sjóðstr - efnah - F.ehf'!D48+'rekst - sjóðstr - efnah - Gáma'!D48+'rekst - sjóðstr - efnah - Höfði'!D48</f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526</v>
      </c>
      <c r="C49" s="118">
        <f>'rekst - sjóðstr - efnah - F.ehf'!C49+'rekst - sjóðstr - efnah - Háhit'!C49+'rekst - sjóðstr - efnah - Gáma'!C49+'rekst - sjóðstr - efnah - Höfði'!C49</f>
        <v>0</v>
      </c>
      <c r="D49" s="67">
        <f>'rekst - sjóðstr - efnah - F.ehf'!D49+'rekst - sjóðstr - efnah - Gáma'!D49+'rekst - sjóðstr - efnah - Höfði'!D49</f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527</v>
      </c>
      <c r="C50" s="118">
        <f>C16</f>
        <v>1577</v>
      </c>
      <c r="D50" s="67">
        <f>'rekst - sjóðstr - efnah - F.ehf'!D50+'rekst - sjóðstr - efnah - Gáma'!D50+'rekst - sjóðstr - efnah - Höfði'!D50</f>
        <v>0</v>
      </c>
      <c r="E50" s="118">
        <f>E16</f>
        <v>1577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12.75">
      <c r="B51" s="35" t="s">
        <v>528</v>
      </c>
      <c r="C51" s="118">
        <f>'rekst - sjóðstr - efnah - F.ehf'!C51+'rekst - sjóðstr - efnah - Háhit'!C51+'rekst - sjóðstr - efnah - Gáma'!C51+'rekst - sjóðstr - efnah - Höfði'!C51</f>
        <v>0</v>
      </c>
      <c r="D51" s="67">
        <f>'rekst - sjóðstr - efnah - F.ehf'!D51+'rekst - sjóðstr - efnah - Gáma'!D51+'rekst - sjóðstr - efnah - Höfði'!D51</f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529</v>
      </c>
      <c r="C52" s="120">
        <f>SUM(C45:C51)</f>
        <v>22801</v>
      </c>
      <c r="D52" s="40">
        <f>SUM(D45:D51)</f>
        <v>0</v>
      </c>
      <c r="E52" s="120">
        <f>SUM(E45:E51)</f>
        <v>22801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12.75">
      <c r="B53" s="58" t="s">
        <v>530</v>
      </c>
      <c r="C53" s="118"/>
      <c r="D53" s="1"/>
      <c r="E53" s="114"/>
      <c r="G53" s="118"/>
      <c r="H53" s="1"/>
      <c r="I53" s="114"/>
    </row>
    <row r="54" spans="2:9" ht="12.75">
      <c r="B54" s="35" t="s">
        <v>531</v>
      </c>
      <c r="C54" s="118">
        <f>'rekst - sjóðstr - efnah - F.ehf'!C54+'rekst - sjóðstr - efnah - Háhit'!C54+'rekst - sjóðstr - efnah - Gáma'!C54+'rekst - sjóðstr - efnah - Höfði'!C54</f>
        <v>0</v>
      </c>
      <c r="D54" s="67">
        <f>'rekst - sjóðstr - efnah - F.ehf'!D54+'rekst - sjóðstr - efnah - Gáma'!D54+'rekst - sjóðstr - efnah - Höfði'!D54</f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12.75">
      <c r="B55" s="35" t="s">
        <v>532</v>
      </c>
      <c r="C55" s="118">
        <f>'rekst - sjóðstr - efnah - F.ehf'!C55+'rekst - sjóðstr - efnah - Háhit'!C55+'rekst - sjóðstr - efnah - Gáma'!C55+'rekst - sjóðstr - efnah - Höfði'!C55</f>
        <v>0</v>
      </c>
      <c r="D55" s="67">
        <f>'rekst - sjóðstr - efnah - F.ehf'!D55+'rekst - sjóðstr - efnah - Gáma'!D55+'rekst - sjóðstr - efnah - Höfði'!D55</f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12.75">
      <c r="B56" s="35" t="s">
        <v>533</v>
      </c>
      <c r="C56" s="118">
        <f>'rekst - sjóðstr - efnah - F.ehf'!C56+'rekst - sjóðstr - efnah - Háhit'!C56+'rekst - sjóðstr - efnah - Gáma'!C56+'rekst - sjóðstr - efnah - Höfði'!C56</f>
        <v>-390</v>
      </c>
      <c r="D56" s="67">
        <f>'rekst - sjóðstr - efnah - F.ehf'!D56+'rekst - sjóðstr - efnah - Gáma'!D56+'rekst - sjóðstr - efnah - Höfði'!D56</f>
        <v>0</v>
      </c>
      <c r="E56" s="125">
        <f>C56+D56</f>
        <v>-390</v>
      </c>
      <c r="G56" s="118">
        <v>-10000</v>
      </c>
      <c r="H56" s="1">
        <f>D56</f>
        <v>0</v>
      </c>
      <c r="I56" s="125">
        <f>G56+H56</f>
        <v>-10000</v>
      </c>
    </row>
    <row r="57" spans="2:9" ht="12.75">
      <c r="B57" s="35" t="s">
        <v>534</v>
      </c>
      <c r="C57" s="118">
        <f>'rekst - sjóðstr - efnah - F.ehf'!C57+'rekst - sjóðstr - efnah - Háhit'!C57+'rekst - sjóðstr - efnah - Gáma'!C57+'rekst - sjóðstr - efnah - Höfði'!C57</f>
        <v>2820</v>
      </c>
      <c r="D57" s="67">
        <f>'rekst - sjóðstr - efnah - F.ehf'!D57+'rekst - sjóðstr - efnah - Gáma'!D57+'rekst - sjóðstr - efnah - Höfði'!D57</f>
        <v>0</v>
      </c>
      <c r="E57" s="125">
        <f>C57+D57</f>
        <v>2820</v>
      </c>
      <c r="G57" s="118">
        <v>24800</v>
      </c>
      <c r="H57" s="1">
        <f>D57</f>
        <v>0</v>
      </c>
      <c r="I57" s="125">
        <f>G57+H57</f>
        <v>24800</v>
      </c>
    </row>
    <row r="58" spans="2:9" ht="12.75">
      <c r="B58" s="35" t="s">
        <v>535</v>
      </c>
      <c r="C58" s="118">
        <f>'rekst - sjóðstr - efnah - F.ehf'!C58+'rekst - sjóðstr - efnah - Háhit'!C58+'rekst - sjóðstr - efnah - Gáma'!C58+'rekst - sjóðstr - efnah - Höfði'!C58</f>
        <v>0</v>
      </c>
      <c r="D58" s="167">
        <f>'rekst - sjóðstr - efnah - F.ehf'!D58+'rekst - sjóðstr - efnah - Gáma'!D58+'rekst - sjóðstr - efnah - Höfði'!D58</f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12.75">
      <c r="B59" s="30" t="s">
        <v>530</v>
      </c>
      <c r="C59" s="121">
        <f>SUM(C54:C58)</f>
        <v>2430</v>
      </c>
      <c r="D59" s="48">
        <f>SUM(D54:D58)</f>
        <v>0</v>
      </c>
      <c r="E59" s="121">
        <f>SUM(E54:E58)</f>
        <v>2430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536</v>
      </c>
      <c r="C60" s="123">
        <f>C52+C59</f>
        <v>25231</v>
      </c>
      <c r="D60" s="124">
        <f>D52+D59</f>
        <v>0</v>
      </c>
      <c r="E60" s="123">
        <f>E52+E59</f>
        <v>25231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537</v>
      </c>
      <c r="C62" s="60"/>
      <c r="D62" s="1"/>
      <c r="E62" s="114"/>
      <c r="G62" s="60"/>
      <c r="H62" s="1"/>
      <c r="I62" s="114"/>
    </row>
    <row r="63" spans="2:9" ht="12.75">
      <c r="B63" s="35" t="s">
        <v>538</v>
      </c>
      <c r="C63" s="118">
        <f>'rekst - sjóðstr - efnah - F.ehf'!C63+'rekst - sjóðstr - efnah - Háhit'!C63+'rekst - sjóðstr - efnah - Gáma'!C63+'rekst - sjóðstr - efnah - Höfði'!C63</f>
        <v>0</v>
      </c>
      <c r="D63" s="67">
        <f>'rekst - sjóðstr - efnah - F.ehf'!D63+'rekst - sjóðstr - efnah - Gáma'!D63+'rekst - sjóðstr - efnah - Höfði'!D63</f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12.75" outlineLevel="1">
      <c r="B64" s="35" t="s">
        <v>539</v>
      </c>
      <c r="C64" s="118">
        <f>'rekst - sjóðstr - efnah - F.ehf'!C64+'rekst - sjóðstr - efnah - Háhit'!C64+'rekst - sjóðstr - efnah - Gáma'!C64+'rekst - sjóðstr - efnah - Höfði'!C64</f>
        <v>0</v>
      </c>
      <c r="D64" s="67">
        <f>'rekst - sjóðstr - efnah - F.ehf'!D64+'rekst - sjóðstr - efnah - Gáma'!D64+'rekst - sjóðstr - efnah - Höfði'!D64</f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12.75" outlineLevel="1">
      <c r="B65" s="35" t="s">
        <v>540</v>
      </c>
      <c r="C65" s="118">
        <f>'rekst - sjóðstr - efnah - F.ehf'!C65+'rekst - sjóðstr - efnah - Háhit'!C65+'rekst - sjóðstr - efnah - Gáma'!C65+'rekst - sjóðstr - efnah - Höfði'!C65</f>
        <v>0</v>
      </c>
      <c r="D65" s="67">
        <f>'rekst - sjóðstr - efnah - F.ehf'!D65+'rekst - sjóðstr - efnah - Gáma'!D65+'rekst - sjóðstr - efnah - Höfði'!D65</f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12.75">
      <c r="B66" s="35" t="s">
        <v>541</v>
      </c>
      <c r="C66" s="118">
        <f>'rekst - sjóðstr - efnah - F.ehf'!C66+'rekst - sjóðstr - efnah - Háhit'!C66+'rekst - sjóðstr - efnah - Gáma'!C66+'rekst - sjóðstr - efnah - Höfði'!C66</f>
        <v>0</v>
      </c>
      <c r="D66" s="67">
        <f>'rekst - sjóðstr - efnah - F.ehf'!D66+'rekst - sjóðstr - efnah - Gáma'!D66+'rekst - sjóðstr - efnah - Höfði'!D66</f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12.75" outlineLevel="1">
      <c r="B67" s="35" t="s">
        <v>542</v>
      </c>
      <c r="C67" s="118">
        <f>'rekst - sjóðstr - efnah - F.ehf'!C67+'rekst - sjóðstr - efnah - Háhit'!C67+'rekst - sjóðstr - efnah - Gáma'!C67+'rekst - sjóðstr - efnah - Höfði'!C67</f>
        <v>0</v>
      </c>
      <c r="D67" s="67">
        <f>'rekst - sjóðstr - efnah - F.ehf'!D67+'rekst - sjóðstr - efnah - Gáma'!D67+'rekst - sjóðstr - efnah - Höfði'!D67</f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12.75" outlineLevel="1">
      <c r="B68" s="35" t="s">
        <v>528</v>
      </c>
      <c r="C68" s="118">
        <f>'rekst - sjóðstr - efnah - F.ehf'!C68+'rekst - sjóðstr - efnah - Háhit'!C68+'rekst - sjóðstr - efnah - Gáma'!C68+'rekst - sjóðstr - efnah - Höfði'!C68</f>
        <v>0</v>
      </c>
      <c r="D68" s="67">
        <f>'rekst - sjóðstr - efnah - F.ehf'!D68+'rekst - sjóðstr - efnah - Gáma'!D68+'rekst - sjóðstr - efnah - Höfði'!D68</f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12.7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543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544</v>
      </c>
      <c r="C72" s="118">
        <f>'rekst - sjóðstr - efnah - F.ehf'!C72+'rekst - sjóðstr - efnah - Háhit'!C72+'rekst - sjóðstr - efnah - Gáma'!C72+'rekst - sjóðstr - efnah - Höfði'!C72</f>
        <v>0</v>
      </c>
      <c r="D72" s="67">
        <f>'rekst - sjóðstr - efnah - F.ehf'!D72+'rekst - sjóðstr - efnah - Gáma'!D72+'rekst - sjóðstr - efnah - Höfði'!D72</f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12.75" outlineLevel="1">
      <c r="B73" s="35" t="s">
        <v>545</v>
      </c>
      <c r="C73" s="118">
        <f>'rekst - sjóðstr - efnah - F.ehf'!C73+'rekst - sjóðstr - efnah - Háhit'!C73+'rekst - sjóðstr - efnah - Gáma'!C73+'rekst - sjóðstr - efnah - Höfði'!C73</f>
        <v>-2038</v>
      </c>
      <c r="D73" s="67">
        <f>'rekst - sjóðstr - efnah - F.ehf'!D73+'rekst - sjóðstr - efnah - Gáma'!D73+'rekst - sjóðstr - efnah - Höfði'!D73</f>
        <v>0</v>
      </c>
      <c r="E73" s="125">
        <f aca="true" t="shared" si="3" ref="E73:E81">C73+D73</f>
        <v>-2038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12.75" outlineLevel="1">
      <c r="B74" s="35" t="s">
        <v>546</v>
      </c>
      <c r="C74" s="118">
        <f>'rekst - sjóðstr - efnah - F.ehf'!C74+'rekst - sjóðstr - efnah - Háhit'!C74+'rekst - sjóðstr - efnah - Gáma'!C74+'rekst - sjóðstr - efnah - Höfði'!C74</f>
        <v>0</v>
      </c>
      <c r="D74" s="67">
        <f>'rekst - sjóðstr - efnah - F.ehf'!D74+'rekst - sjóðstr - efnah - Gáma'!D74+'rekst - sjóðstr - efnah - Höfði'!D74</f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12.75" outlineLevel="1">
      <c r="B75" s="35" t="s">
        <v>954</v>
      </c>
      <c r="C75" s="118">
        <f>'rekst - sjóðstr - efnah - F.ehf'!C75+'rekst - sjóðstr - efnah - Háhit'!C75+'rekst - sjóðstr - efnah - Gáma'!C75+'rekst - sjóðstr - efnah - Höfði'!C75</f>
        <v>0</v>
      </c>
      <c r="D75" s="67">
        <f>'rekst - sjóðstr - efnah - F.ehf'!D75+'rekst - sjóðstr - efnah - Gáma'!D75+'rekst - sjóðstr - efnah - Höfði'!D75</f>
        <v>0</v>
      </c>
      <c r="E75" s="125">
        <f t="shared" si="3"/>
        <v>0</v>
      </c>
      <c r="G75" s="118"/>
      <c r="H75" s="67"/>
      <c r="I75" s="125"/>
    </row>
    <row r="76" spans="2:9" ht="12.75" outlineLevel="1">
      <c r="B76" s="35" t="s">
        <v>955</v>
      </c>
      <c r="C76" s="118">
        <f>'rekst - sjóðstr - efnah - F.ehf'!C76+'rekst - sjóðstr - efnah - Háhit'!C76+'rekst - sjóðstr - efnah - Gáma'!C76+'rekst - sjóðstr - efnah - Höfði'!C76</f>
        <v>0</v>
      </c>
      <c r="D76" s="67">
        <f>'rekst - sjóðstr - efnah - F.ehf'!D76+'rekst - sjóðstr - efnah - Gáma'!D76+'rekst - sjóðstr - efnah - Höfði'!D76</f>
        <v>0</v>
      </c>
      <c r="E76" s="125">
        <f t="shared" si="3"/>
        <v>0</v>
      </c>
      <c r="G76" s="118"/>
      <c r="H76" s="67"/>
      <c r="I76" s="125"/>
    </row>
    <row r="77" spans="2:9" ht="12.75">
      <c r="B77" s="35" t="s">
        <v>547</v>
      </c>
      <c r="C77" s="118">
        <f>'rekst - sjóðstr - efnah - F.ehf'!C77+'rekst - sjóðstr - efnah - Háhit'!C77+'rekst - sjóðstr - efnah - Gáma'!C77+'rekst - sjóðstr - efnah - Höfði'!C77</f>
        <v>-16628</v>
      </c>
      <c r="D77" s="67">
        <f>'rekst - sjóðstr - efnah - F.ehf'!D77+'rekst - sjóðstr - efnah - Gáma'!D77+'rekst - sjóðstr - efnah - Höfði'!D77</f>
        <v>0</v>
      </c>
      <c r="E77" s="125">
        <f t="shared" si="3"/>
        <v>-16628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12.75">
      <c r="B78" s="35" t="s">
        <v>548</v>
      </c>
      <c r="C78" s="118">
        <f>'rekst - sjóðstr - efnah - F.ehf'!C78+'rekst - sjóðstr - efnah - Háhit'!C78+'rekst - sjóðstr - efnah - Gáma'!C78+'rekst - sjóðstr - efnah - Höfði'!C78</f>
        <v>0</v>
      </c>
      <c r="D78" s="67">
        <f>'rekst - sjóðstr - efnah - F.ehf'!D78+'rekst - sjóðstr - efnah - Gáma'!D78+'rekst - sjóðstr - efnah - Höfði'!D78</f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12.75">
      <c r="B79" s="35" t="s">
        <v>549</v>
      </c>
      <c r="C79" s="118">
        <f>'rekst - sjóðstr - efnah - F.ehf'!C79+'rekst - sjóðstr - efnah - Háhit'!C79+'rekst - sjóðstr - efnah - Gáma'!C79+'rekst - sjóðstr - efnah - Höfði'!C79</f>
        <v>0</v>
      </c>
      <c r="D79" s="67">
        <f>'rekst - sjóðstr - efnah - F.ehf'!D79+'rekst - sjóðstr - efnah - Gáma'!D79+'rekst - sjóðstr - efnah - Höfði'!D79</f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12.75">
      <c r="B80" s="35" t="s">
        <v>550</v>
      </c>
      <c r="C80" s="118">
        <f>'rekst - sjóðstr - efnah - F.ehf'!C80+'rekst - sjóðstr - efnah - Háhit'!C80+'rekst - sjóðstr - efnah - Gáma'!C80+'rekst - sjóðstr - efnah - Höfði'!C80</f>
        <v>0</v>
      </c>
      <c r="D80" s="67">
        <f>'rekst - sjóðstr - efnah - F.ehf'!D80+'rekst - sjóðstr - efnah - Gáma'!D80+'rekst - sjóðstr - efnah - Höfði'!D80</f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12.75">
      <c r="B81" s="35" t="s">
        <v>528</v>
      </c>
      <c r="C81" s="118">
        <f>'rekst - sjóðstr - efnah - F.ehf'!C81+'rekst - sjóðstr - efnah - Háhit'!C81+'rekst - sjóðstr - efnah - Gáma'!C81+'rekst - sjóðstr - efnah - Höfði'!C81</f>
        <v>0</v>
      </c>
      <c r="D81" s="67">
        <f>'rekst - sjóðstr - efnah - F.ehf'!D81+'rekst - sjóðstr - efnah - Gáma'!D81+'rekst - sjóðstr - efnah - Höfði'!D81</f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12.75">
      <c r="B82" s="30" t="s">
        <v>543</v>
      </c>
      <c r="C82" s="120">
        <f>SUM(C72:C81)</f>
        <v>-18666</v>
      </c>
      <c r="D82" s="40">
        <f>SUM(D72:D81)</f>
        <v>0</v>
      </c>
      <c r="E82" s="120">
        <f>SUM(E72:E81)</f>
        <v>-18666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551</v>
      </c>
      <c r="C84" s="118">
        <f>C60+C69+C82</f>
        <v>6565</v>
      </c>
      <c r="D84" s="44">
        <f>D60+D69+D82</f>
        <v>0</v>
      </c>
      <c r="E84" s="118">
        <f>E60+E69+E82</f>
        <v>6565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12.75">
      <c r="B85" s="43" t="s">
        <v>552</v>
      </c>
      <c r="C85" s="121">
        <f>'rekst - sjóðstr - efnah - F.ehf'!C85+'rekst - sjóðstr - efnah - Háhit'!C85+'rekst - sjóðstr - efnah - Gáma'!C85+'rekst - sjóðstr - efnah - Höfði'!C85</f>
        <v>104502</v>
      </c>
      <c r="D85" s="48">
        <v>0</v>
      </c>
      <c r="E85" s="121">
        <f>C85+D85</f>
        <v>104502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553</v>
      </c>
      <c r="C86" s="123">
        <f>SUM(C84:C85)</f>
        <v>111067</v>
      </c>
      <c r="D86" s="124">
        <f>SUM(D84:D85)</f>
        <v>0</v>
      </c>
      <c r="E86" s="123">
        <f>SUM(E84:E85)</f>
        <v>111067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638</v>
      </c>
      <c r="D92" s="29" t="s">
        <v>638</v>
      </c>
      <c r="E92" s="28" t="s">
        <v>638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714</v>
      </c>
      <c r="I93" s="116" t="s">
        <v>501</v>
      </c>
      <c r="J93" s="158" t="s">
        <v>500</v>
      </c>
    </row>
    <row r="94" spans="2:10" ht="12.7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558</v>
      </c>
      <c r="C96" s="118">
        <f>'rekst - sjóðstr - efnah - F.ehf'!C96+'rekst - sjóðstr - efnah - Háhit'!C96+'rekst - sjóðstr - efnah - Gáma'!C96+'rekst - sjóðstr - efnah - Höfði'!C96</f>
        <v>510906</v>
      </c>
      <c r="D96" s="67">
        <f>'rekst - sjóðstr - efnah - F.ehf'!D96+'rekst - sjóðstr - efnah - Gáma'!D96+'rekst - sjóðstr - efnah - Höfði'!D96</f>
        <v>0</v>
      </c>
      <c r="E96" s="125">
        <f>C96+D96</f>
        <v>510906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12.75">
      <c r="B97" s="35" t="s">
        <v>559</v>
      </c>
      <c r="C97" s="118">
        <f>'rekst - sjóðstr - efnah - F.ehf'!C97+'rekst - sjóðstr - efnah - Háhit'!C97+'rekst - sjóðstr - efnah - Gáma'!C97+'rekst - sjóðstr - efnah - Höfði'!C97</f>
        <v>0</v>
      </c>
      <c r="D97" s="67">
        <f>'rekst - sjóðstr - efnah - F.ehf'!D97+'rekst - sjóðstr - efnah - Gáma'!D97+'rekst - sjóðstr - efnah - Höfði'!D97</f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12.75">
      <c r="B98" s="35" t="s">
        <v>560</v>
      </c>
      <c r="C98" s="118">
        <f>'rekst - sjóðstr - efnah - F.ehf'!C98+'rekst - sjóðstr - efnah - Háhit'!C98+'rekst - sjóðstr - efnah - Gáma'!C98+'rekst - sjóðstr - efnah - Höfði'!C98</f>
        <v>27023</v>
      </c>
      <c r="D98" s="67">
        <f>'rekst - sjóðstr - efnah - F.ehf'!D98+'rekst - sjóðstr - efnah - Gáma'!D98+'rekst - sjóðstr - efnah - Höfði'!D98</f>
        <v>0</v>
      </c>
      <c r="E98" s="125">
        <f>C98+D98</f>
        <v>27023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12.75">
      <c r="B99" s="35" t="s">
        <v>561</v>
      </c>
      <c r="C99" s="118">
        <f>'rekst - sjóðstr - efnah - F.ehf'!C99+'rekst - sjóðstr - efnah - Háhit'!C99+'rekst - sjóðstr - efnah - Gáma'!C99+'rekst - sjóðstr - efnah - Höfði'!C99</f>
        <v>0</v>
      </c>
      <c r="D99" s="67">
        <f>'rekst - sjóðstr - efnah - F.ehf'!D99+'rekst - sjóðstr - efnah - Gáma'!D99+'rekst - sjóðstr - efnah - Höfði'!D99</f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537929</v>
      </c>
      <c r="D100" s="40">
        <f>SUM(D96:D99)</f>
        <v>0</v>
      </c>
      <c r="E100" s="120">
        <f>SUM(E96:E99)</f>
        <v>537929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12.7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563</v>
      </c>
      <c r="C102" s="118">
        <f>'rekst - sjóðstr - efnah - F.ehf'!C102+'rekst - sjóðstr - efnah - Háhit'!C102+'rekst - sjóðstr - efnah - Gáma'!C102+'rekst - sjóðstr - efnah - Höfði'!C102</f>
        <v>0</v>
      </c>
      <c r="D102" s="67">
        <f>'rekst - sjóðstr - efnah - F.ehf'!D102+'rekst - sjóðstr - efnah - Gáma'!D102+'rekst - sjóðstr - efnah - Höfði'!D102</f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12.75">
      <c r="B103" s="35" t="s">
        <v>564</v>
      </c>
      <c r="C103" s="118">
        <f>'rekst - sjóðstr - efnah - F.ehf'!C103+'rekst - sjóðstr - efnah - Háhit'!C103+'rekst - sjóðstr - efnah - Gáma'!C103+'rekst - sjóðstr - efnah - Höfði'!C103</f>
        <v>0</v>
      </c>
      <c r="D103" s="67">
        <f>'rekst - sjóðstr - efnah - F.ehf'!D103+'rekst - sjóðstr - efnah - Gáma'!D103+'rekst - sjóðstr - efnah - Höfði'!D103</f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12.75">
      <c r="B104" s="35" t="s">
        <v>565</v>
      </c>
      <c r="C104" s="118">
        <f>'rekst - sjóðstr - efnah - F.ehf'!C104+'rekst - sjóðstr - efnah - Háhit'!C104+'rekst - sjóðstr - efnah - Gáma'!C104+'rekst - sjóðstr - efnah - Höfði'!C104</f>
        <v>0</v>
      </c>
      <c r="D104" s="67">
        <f>'rekst - sjóðstr - efnah - F.ehf'!D104+'rekst - sjóðstr - efnah - Gáma'!D104+'rekst - sjóðstr - efnah - Höfði'!D104</f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12.75">
      <c r="B105" s="35" t="s">
        <v>566</v>
      </c>
      <c r="C105" s="118">
        <f>'rekst - sjóðstr - efnah - F.ehf'!C105+'rekst - sjóðstr - efnah - Háhit'!C105+'rekst - sjóðstr - efnah - Gáma'!C105+'rekst - sjóðstr - efnah - Höfði'!C105</f>
        <v>0</v>
      </c>
      <c r="D105" s="67">
        <f>'rekst - sjóðstr - efnah - F.ehf'!D105+'rekst - sjóðstr - efnah - Gáma'!D105+'rekst - sjóðstr - efnah - Höfði'!D105</f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12.75">
      <c r="B106" s="35" t="s">
        <v>567</v>
      </c>
      <c r="C106" s="118">
        <f>'rekst - sjóðstr - efnah - F.ehf'!C106+'rekst - sjóðstr - efnah - Háhit'!C106+'rekst - sjóðstr - efnah - Gáma'!C106+'rekst - sjóðstr - efnah - Höfði'!C106</f>
        <v>0</v>
      </c>
      <c r="D106" s="67">
        <f>'rekst - sjóðstr - efnah - F.ehf'!D106+'rekst - sjóðstr - efnah - Gáma'!D106+'rekst - sjóðstr - efnah - Höfði'!D106</f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12.75">
      <c r="B107" s="35" t="s">
        <v>568</v>
      </c>
      <c r="C107" s="118">
        <f>'rekst - sjóðstr - efnah - F.ehf'!C107+'rekst - sjóðstr - efnah - Háhit'!C107+'rekst - sjóðstr - efnah - Gáma'!C107+'rekst - sjóðstr - efnah - Höfði'!C107</f>
        <v>0</v>
      </c>
      <c r="D107" s="67">
        <f>'rekst - sjóðstr - efnah - F.ehf'!D107+'rekst - sjóðstr - efnah - Gáma'!D107+'rekst - sjóðstr - efnah - Höfði'!D107</f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12.75">
      <c r="B109" s="30" t="s">
        <v>556</v>
      </c>
      <c r="C109" s="120">
        <f>C100+C108</f>
        <v>537929</v>
      </c>
      <c r="D109" s="40">
        <f>D100+D108</f>
        <v>0</v>
      </c>
      <c r="E109" s="120">
        <f>E100+E108</f>
        <v>537929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12.7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570</v>
      </c>
      <c r="C111" s="118">
        <f>'rekst - sjóðstr - efnah - F.ehf'!C111+'rekst - sjóðstr - efnah - Háhit'!C111+'rekst - sjóðstr - efnah - Gáma'!C111+'rekst - sjóðstr - efnah - Höfði'!C111</f>
        <v>0</v>
      </c>
      <c r="D111" s="67">
        <f>'rekst - sjóðstr - efnah - F.ehf'!D111+'rekst - sjóðstr - efnah - Gáma'!D111+'rekst - sjóðstr - efnah - Höfði'!D111</f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12.75">
      <c r="B112" s="35" t="s">
        <v>571</v>
      </c>
      <c r="C112" s="118">
        <f>'rekst - sjóðstr - efnah - F.ehf'!C112+'rekst - sjóðstr - efnah - Háhit'!C112+'rekst - sjóðstr - efnah - Gáma'!C112+'rekst - sjóðstr - efnah - Höfði'!C112</f>
        <v>8549</v>
      </c>
      <c r="D112" s="67">
        <f>'rekst - sjóðstr - efnah - F.ehf'!D112+'rekst - sjóðstr - efnah - Gáma'!D112+'rekst - sjóðstr - efnah - Höfði'!D112</f>
        <v>0</v>
      </c>
      <c r="E112" s="125">
        <f aca="true" t="shared" si="9" ref="E112:E119">C112+D112</f>
        <v>8549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12.75">
      <c r="B113" s="35" t="s">
        <v>572</v>
      </c>
      <c r="C113" s="118">
        <f>'rekst - sjóðstr - efnah - F.ehf'!C113+'rekst - sjóðstr - efnah - Háhit'!C113+'rekst - sjóðstr - efnah - Gáma'!C113+'rekst - sjóðstr - efnah - Höfði'!C113</f>
        <v>0</v>
      </c>
      <c r="D113" s="67">
        <f>'rekst - sjóðstr - efnah - F.ehf'!D113+'rekst - sjóðstr - efnah - Gáma'!D113+'rekst - sjóðstr - efnah - Höfði'!D113</f>
        <v>0</v>
      </c>
      <c r="E113" s="125">
        <f t="shared" si="9"/>
        <v>0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12.75">
      <c r="B114" s="35" t="s">
        <v>573</v>
      </c>
      <c r="C114" s="118">
        <f>'rekst - sjóðstr - efnah - F.ehf'!C114+'rekst - sjóðstr - efnah - Háhit'!C114+'rekst - sjóðstr - efnah - Gáma'!C114+'rekst - sjóðstr - efnah - Höfði'!C114</f>
        <v>4841</v>
      </c>
      <c r="D114" s="67">
        <f>'rekst - sjóðstr - efnah - F.ehf'!D114+'rekst - sjóðstr - efnah - Gáma'!D114+'rekst - sjóðstr - efnah - Höfði'!D114</f>
        <v>0</v>
      </c>
      <c r="E114" s="125">
        <f t="shared" si="9"/>
        <v>4841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12.75">
      <c r="B115" s="35" t="s">
        <v>574</v>
      </c>
      <c r="C115" s="118">
        <f>'rekst - sjóðstr - efnah - F.ehf'!C115+'rekst - sjóðstr - efnah - Háhit'!C115+'rekst - sjóðstr - efnah - Gáma'!C115+'rekst - sjóðstr - efnah - Höfði'!C115</f>
        <v>0</v>
      </c>
      <c r="D115" s="67">
        <f>'rekst - sjóðstr - efnah - F.ehf'!D115+'rekst - sjóðstr - efnah - Gáma'!D115+'rekst - sjóðstr - efnah - Höfði'!D115</f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12.75">
      <c r="B116" s="35" t="s">
        <v>575</v>
      </c>
      <c r="C116" s="118">
        <f>'rekst - sjóðstr - efnah - F.ehf'!C116+'rekst - sjóðstr - efnah - Háhit'!C116+'rekst - sjóðstr - efnah - Gáma'!C116+'rekst - sjóðstr - efnah - Höfði'!C116</f>
        <v>0</v>
      </c>
      <c r="D116" s="67">
        <f>'rekst - sjóðstr - efnah - F.ehf'!D116+'rekst - sjóðstr - efnah - Gáma'!D116+'rekst - sjóðstr - efnah - Höfði'!D116</f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12.75">
      <c r="B117" s="35" t="s">
        <v>576</v>
      </c>
      <c r="C117" s="118">
        <f>'rekst - sjóðstr - efnah - F.ehf'!C117+'rekst - sjóðstr - efnah - Háhit'!C117+'rekst - sjóðstr - efnah - Gáma'!C117+'rekst - sjóðstr - efnah - Höfði'!C117</f>
        <v>0</v>
      </c>
      <c r="D117" s="67">
        <f>'rekst - sjóðstr - efnah - F.ehf'!D117+'rekst - sjóðstr - efnah - Gáma'!D117+'rekst - sjóðstr - efnah - Höfði'!D117</f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12.75">
      <c r="B118" s="35" t="s">
        <v>577</v>
      </c>
      <c r="C118" s="118">
        <f>'rekst - sjóðstr - efnah - F.ehf'!C118+'rekst - sjóðstr - efnah - Háhit'!C118+'rekst - sjóðstr - efnah - Gáma'!C118+'rekst - sjóðstr - efnah - Höfði'!C118</f>
        <v>0</v>
      </c>
      <c r="D118" s="67">
        <f>'rekst - sjóðstr - efnah - F.ehf'!D118+'rekst - sjóðstr - efnah - Gáma'!D118+'rekst - sjóðstr - efnah - Höfði'!D118</f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12.75">
      <c r="B119" s="35" t="s">
        <v>41</v>
      </c>
      <c r="C119" s="118">
        <f>C86</f>
        <v>111067</v>
      </c>
      <c r="D119" s="67">
        <f>'rekst - sjóðstr - efnah - F.ehf'!D119+'rekst - sjóðstr - efnah - Gáma'!D119+'rekst - sjóðstr - efnah - Höfði'!D119</f>
        <v>0</v>
      </c>
      <c r="E119" s="125">
        <f t="shared" si="9"/>
        <v>111067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12.75">
      <c r="B120" s="30" t="s">
        <v>569</v>
      </c>
      <c r="C120" s="120">
        <f>SUM(C111:C119)</f>
        <v>124457</v>
      </c>
      <c r="D120" s="40">
        <f>SUM(D111:D119)</f>
        <v>0</v>
      </c>
      <c r="E120" s="120">
        <f>SUM(E111:E119)</f>
        <v>124457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662386</v>
      </c>
      <c r="D122" s="128">
        <f>D109+D120</f>
        <v>0</v>
      </c>
      <c r="E122" s="127">
        <f>E109+E120</f>
        <v>662386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12.7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638</v>
      </c>
      <c r="D130" s="29" t="s">
        <v>638</v>
      </c>
      <c r="E130" s="28" t="s">
        <v>638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500</v>
      </c>
    </row>
    <row r="132" spans="2:10" ht="12.7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581</v>
      </c>
      <c r="C133" s="118">
        <f>'rekst - sjóðstr - efnah - F.ehf'!C133+'rekst - sjóðstr - efnah - Háhit'!C133+'rekst - sjóðstr - efnah - Gáma'!C133+'rekst - sjóðstr - efnah - Höfði'!C133</f>
        <v>241876</v>
      </c>
      <c r="D133" s="67">
        <f>'rekst - sjóðstr - efnah - F.ehf'!D133+'rekst - sjóðstr - efnah - Gáma'!D133+'rekst - sjóðstr - efnah - Höfði'!D133</f>
        <v>0</v>
      </c>
      <c r="E133" s="125">
        <f>C133+D133</f>
        <v>241876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12.75">
      <c r="B134" s="35" t="s">
        <v>582</v>
      </c>
      <c r="C134" s="118">
        <f>'rekst - sjóðstr - efnah - F.ehf'!C134+'rekst - sjóðstr - efnah - Háhit'!C134+'rekst - sjóðstr - efnah - Gáma'!C134+'rekst - sjóðstr - efnah - Höfði'!C134</f>
        <v>0</v>
      </c>
      <c r="D134" s="67">
        <f>'rekst - sjóðstr - efnah - F.ehf'!D134+'rekst - sjóðstr - efnah - Gáma'!D134+'rekst - sjóðstr - efnah - Höfði'!D134</f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12.75">
      <c r="B135" s="35" t="s">
        <v>583</v>
      </c>
      <c r="C135" s="118">
        <f>'rekst - sjóðstr - efnah - F.ehf'!C135+'rekst - sjóðstr - efnah - Háhit'!C135+'rekst - sjóðstr - efnah - Gáma'!C135+'rekst - sjóðstr - efnah - Höfði'!C135</f>
        <v>0</v>
      </c>
      <c r="D135" s="67">
        <f>'rekst - sjóðstr - efnah - F.ehf'!D135+'rekst - sjóðstr - efnah - Gáma'!D135+'rekst - sjóðstr - efnah - Höfði'!D135</f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580</v>
      </c>
      <c r="C136" s="120">
        <f>SUM(C133:C135)</f>
        <v>241876</v>
      </c>
      <c r="D136" s="40">
        <f>SUM(D133:D135)</f>
        <v>0</v>
      </c>
      <c r="E136" s="120">
        <f>SUM(E133:E135)</f>
        <v>241876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12.7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585</v>
      </c>
      <c r="C138" s="118">
        <f>'rekst - sjóðstr - efnah - F.ehf'!C138+'rekst - sjóðstr - efnah - Háhit'!C138+'rekst - sjóðstr - efnah - Gáma'!C138+'rekst - sjóðstr - efnah - Höfði'!C138</f>
        <v>20533</v>
      </c>
      <c r="D138" s="67">
        <f>'rekst - sjóðstr - efnah - F.ehf'!D138+'rekst - sjóðstr - efnah - Gáma'!D138+'rekst - sjóðstr - efnah - Höfði'!D138</f>
        <v>0</v>
      </c>
      <c r="E138" s="125">
        <f>C138+D138</f>
        <v>20533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12.75">
      <c r="B139" s="35" t="s">
        <v>586</v>
      </c>
      <c r="C139" s="118">
        <f>'rekst - sjóðstr - efnah - F.ehf'!C139+'rekst - sjóðstr - efnah - Háhit'!C139+'rekst - sjóðstr - efnah - Gáma'!C139+'rekst - sjóðstr - efnah - Höfði'!C139</f>
        <v>0</v>
      </c>
      <c r="D139" s="67">
        <f>'rekst - sjóðstr - efnah - F.ehf'!D139+'rekst - sjóðstr - efnah - Gáma'!D139+'rekst - sjóðstr - efnah - Höfði'!D139</f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584</v>
      </c>
      <c r="C140" s="120">
        <f>SUM(C138:C139)</f>
        <v>20533</v>
      </c>
      <c r="D140" s="40">
        <f>SUM(D138:D139)</f>
        <v>0</v>
      </c>
      <c r="E140" s="120">
        <f>SUM(E138:E139)</f>
        <v>20533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12.7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588</v>
      </c>
      <c r="C142" s="118">
        <f>'rekst - sjóðstr - efnah - F.ehf'!C142+'rekst - sjóðstr - efnah - Háhit'!C142+'rekst - sjóðstr - efnah - Gáma'!C142+'rekst - sjóðstr - efnah - Höfði'!C142</f>
        <v>285291</v>
      </c>
      <c r="D142" s="67">
        <f>'rekst - sjóðstr - efnah - F.ehf'!D142+'rekst - sjóðstr - efnah - Gáma'!D142+'rekst - sjóðstr - efnah - Höfði'!D142</f>
        <v>0</v>
      </c>
      <c r="E142" s="125">
        <f>C142+D142</f>
        <v>285291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12.75">
      <c r="B143" s="35" t="s">
        <v>589</v>
      </c>
      <c r="C143" s="118">
        <f>'rekst - sjóðstr - efnah - F.ehf'!C143+'rekst - sjóðstr - efnah - Háhit'!C143+'rekst - sjóðstr - efnah - Gáma'!C143+'rekst - sjóðstr - efnah - Höfði'!C143</f>
        <v>0</v>
      </c>
      <c r="D143" s="67">
        <f>'rekst - sjóðstr - efnah - F.ehf'!D143+'rekst - sjóðstr - efnah - Gáma'!D143+'rekst - sjóðstr - efnah - Höfði'!D143</f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590</v>
      </c>
      <c r="C144" s="118">
        <f>'rekst - sjóðstr - efnah - F.ehf'!C144+'rekst - sjóðstr - efnah - Háhit'!C144+'rekst - sjóðstr - efnah - Gáma'!C144+'rekst - sjóðstr - efnah - Höfði'!C144</f>
        <v>0</v>
      </c>
      <c r="D144" s="67">
        <f>'rekst - sjóðstr - efnah - F.ehf'!D144+'rekst - sjóðstr - efnah - Gáma'!D144+'rekst - sjóðstr - efnah - Höfði'!D144</f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5" t="s">
        <v>591</v>
      </c>
      <c r="C145" s="118">
        <f>'rekst - sjóðstr - efnah - F.ehf'!C145+'rekst - sjóðstr - efnah - Háhit'!C145+'rekst - sjóðstr - efnah - Gáma'!C145+'rekst - sjóðstr - efnah - Höfði'!C145</f>
        <v>0</v>
      </c>
      <c r="D145" s="67">
        <f>'rekst - sjóðstr - efnah - F.ehf'!D145+'rekst - sjóðstr - efnah - Gáma'!D145+'rekst - sjóðstr - efnah - Höfði'!D145</f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587</v>
      </c>
      <c r="C146" s="120">
        <f>SUM(C142:C145)</f>
        <v>285291</v>
      </c>
      <c r="D146" s="40">
        <f>SUM(D142:D145)</f>
        <v>0</v>
      </c>
      <c r="E146" s="120">
        <f>SUM(E142:E145)</f>
        <v>285291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12.7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588</v>
      </c>
      <c r="C148" s="118">
        <f>'rekst - sjóðstr - efnah - F.ehf'!C148+'rekst - sjóðstr - efnah - Háhit'!C148+'rekst - sjóðstr - efnah - Gáma'!C148+'rekst - sjóðstr - efnah - Höfði'!C148</f>
        <v>0</v>
      </c>
      <c r="D148" s="67">
        <f>'rekst - sjóðstr - efnah - F.ehf'!D148+'rekst - sjóðstr - efnah - Gáma'!D148+'rekst - sjóðstr - efnah - Höfði'!D148</f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593</v>
      </c>
      <c r="C149" s="118">
        <f>'rekst - sjóðstr - efnah - F.ehf'!C149+'rekst - sjóðstr - efnah - Háhit'!C149+'rekst - sjóðstr - efnah - Gáma'!C149+'rekst - sjóðstr - efnah - Höfði'!C149</f>
        <v>25750</v>
      </c>
      <c r="D149" s="67">
        <f>'rekst - sjóðstr - efnah - F.ehf'!D149+'rekst - sjóðstr - efnah - Gáma'!D149+'rekst - sjóðstr - efnah - Höfði'!D149</f>
        <v>0</v>
      </c>
      <c r="E149" s="125">
        <f aca="true" t="shared" si="12" ref="E149:E157">C149+D149</f>
        <v>25750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12.75">
      <c r="B150" s="35" t="s">
        <v>590</v>
      </c>
      <c r="C150" s="118">
        <f>'rekst - sjóðstr - efnah - F.ehf'!C150+'rekst - sjóðstr - efnah - Háhit'!C150+'rekst - sjóðstr - efnah - Gáma'!C150+'rekst - sjóðstr - efnah - Höfði'!C150</f>
        <v>1238</v>
      </c>
      <c r="D150" s="67">
        <f>'rekst - sjóðstr - efnah - F.ehf'!D150+'rekst - sjóðstr - efnah - Gáma'!D150+'rekst - sjóðstr - efnah - Höfði'!D150</f>
        <v>0</v>
      </c>
      <c r="E150" s="125">
        <f t="shared" si="12"/>
        <v>1238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12.75">
      <c r="B151" s="35" t="s">
        <v>594</v>
      </c>
      <c r="C151" s="118">
        <f>'rekst - sjóðstr - efnah - F.ehf'!C151+'rekst - sjóðstr - efnah - Háhit'!C151+'rekst - sjóðstr - efnah - Gáma'!C151+'rekst - sjóðstr - efnah - Höfði'!C151</f>
        <v>16628</v>
      </c>
      <c r="D151" s="67">
        <f>'rekst - sjóðstr - efnah - F.ehf'!D151+'rekst - sjóðstr - efnah - Gáma'!D151+'rekst - sjóðstr - efnah - Höfði'!D151</f>
        <v>0</v>
      </c>
      <c r="E151" s="125">
        <f t="shared" si="12"/>
        <v>16628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12.75">
      <c r="B152" s="69" t="s">
        <v>595</v>
      </c>
      <c r="C152" s="118">
        <f>'rekst - sjóðstr - efnah - F.ehf'!C152+'rekst - sjóðstr - efnah - Háhit'!C152+'rekst - sjóðstr - efnah - Gáma'!C152+'rekst - sjóðstr - efnah - Höfði'!C152</f>
        <v>0</v>
      </c>
      <c r="D152" s="67">
        <f>'rekst - sjóðstr - efnah - F.ehf'!D152+'rekst - sjóðstr - efnah - Gáma'!D152+'rekst - sjóðstr - efnah - Höfði'!D152</f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12.75">
      <c r="B153" s="35" t="s">
        <v>596</v>
      </c>
      <c r="C153" s="118">
        <f>'rekst - sjóðstr - efnah - F.ehf'!C153+'rekst - sjóðstr - efnah - Háhit'!C153+'rekst - sjóðstr - efnah - Gáma'!C153+'rekst - sjóðstr - efnah - Höfði'!C153</f>
        <v>0</v>
      </c>
      <c r="D153" s="67">
        <f>'rekst - sjóðstr - efnah - F.ehf'!D153+'rekst - sjóðstr - efnah - Gáma'!D153+'rekst - sjóðstr - efnah - Höfði'!D153</f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12.75">
      <c r="B154" s="35" t="s">
        <v>597</v>
      </c>
      <c r="C154" s="118">
        <f>'rekst - sjóðstr - efnah - F.ehf'!C154+'rekst - sjóðstr - efnah - Háhit'!C154+'rekst - sjóðstr - efnah - Gáma'!C154+'rekst - sjóðstr - efnah - Höfði'!C154</f>
        <v>0</v>
      </c>
      <c r="D154" s="67">
        <f>'rekst - sjóðstr - efnah - F.ehf'!D154+'rekst - sjóðstr - efnah - Gáma'!D154+'rekst - sjóðstr - efnah - Höfði'!D154</f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12.75">
      <c r="B155" s="35" t="s">
        <v>598</v>
      </c>
      <c r="C155" s="118">
        <f>'rekst - sjóðstr - efnah - F.ehf'!C155+'rekst - sjóðstr - efnah - Háhit'!C155+'rekst - sjóðstr - efnah - Gáma'!C155+'rekst - sjóðstr - efnah - Höfði'!C155</f>
        <v>0</v>
      </c>
      <c r="D155" s="67">
        <f>'rekst - sjóðstr - efnah - F.ehf'!D155+'rekst - sjóðstr - efnah - Gáma'!D155+'rekst - sjóðstr - efnah - Höfði'!D155</f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599</v>
      </c>
      <c r="C156" s="118">
        <f>'rekst - sjóðstr - efnah - F.ehf'!C156+'rekst - sjóðstr - efnah - Háhit'!C156+'rekst - sjóðstr - efnah - Gáma'!C156+'rekst - sjóðstr - efnah - Höfði'!C156</f>
        <v>71070</v>
      </c>
      <c r="D156" s="67">
        <f>'rekst - sjóðstr - efnah - F.ehf'!D156+'rekst - sjóðstr - efnah - Gáma'!D156+'rekst - sjóðstr - efnah - Höfði'!D156</f>
        <v>0</v>
      </c>
      <c r="E156" s="125">
        <f t="shared" si="12"/>
        <v>71070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600</v>
      </c>
      <c r="C157" s="118">
        <f>'rekst - sjóðstr - efnah - F.ehf'!C157+'rekst - sjóðstr - efnah - Háhit'!C157+'rekst - sjóðstr - efnah - Gáma'!C157+'rekst - sjóðstr - efnah - Höfði'!C157</f>
        <v>0</v>
      </c>
      <c r="D157" s="67">
        <f>'rekst - sjóðstr - efnah - F.ehf'!D157+'rekst - sjóðstr - efnah - Gáma'!D157+'rekst - sjóðstr - efnah - Höfði'!D157</f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592</v>
      </c>
      <c r="C158" s="120">
        <f>SUM(C148:C157)</f>
        <v>114686</v>
      </c>
      <c r="D158" s="40">
        <f>SUM(D148:D157)</f>
        <v>0</v>
      </c>
      <c r="E158" s="120">
        <f>SUM(E148:E157)</f>
        <v>114686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420510</v>
      </c>
      <c r="D160" s="40">
        <f>D140+D146+D158</f>
        <v>0</v>
      </c>
      <c r="E160" s="120">
        <f>E140+E146+E158</f>
        <v>420510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662386</v>
      </c>
      <c r="D162" s="127">
        <f>D136+D160</f>
        <v>0</v>
      </c>
      <c r="E162" s="127">
        <f>E136+E160</f>
        <v>662386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0.140625" style="0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967</v>
      </c>
      <c r="D5" s="29" t="s">
        <v>967</v>
      </c>
      <c r="E5" s="28" t="s">
        <v>967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714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-9189</v>
      </c>
      <c r="D8" s="67">
        <v>0</v>
      </c>
      <c r="E8" s="119">
        <f>C8+D8</f>
        <v>-9189</v>
      </c>
      <c r="G8" s="118">
        <v>3388427</v>
      </c>
      <c r="H8" s="67">
        <f>D8</f>
        <v>0</v>
      </c>
      <c r="I8" s="119">
        <f>G8+H8</f>
        <v>3388427</v>
      </c>
    </row>
    <row r="9" spans="2:9" ht="12.75">
      <c r="B9" s="35" t="s">
        <v>503</v>
      </c>
      <c r="C9" s="118">
        <v>0</v>
      </c>
      <c r="D9" s="67">
        <v>0</v>
      </c>
      <c r="E9" s="119">
        <f>C9+D9</f>
        <v>0</v>
      </c>
      <c r="G9" s="118">
        <v>754353</v>
      </c>
      <c r="H9" s="67">
        <f>D9</f>
        <v>0</v>
      </c>
      <c r="I9" s="119">
        <f>G9+H9</f>
        <v>754353</v>
      </c>
    </row>
    <row r="10" spans="2:9" ht="12.75">
      <c r="B10" s="35" t="s">
        <v>504</v>
      </c>
      <c r="C10" s="118">
        <v>-128259</v>
      </c>
      <c r="D10" s="67">
        <v>0</v>
      </c>
      <c r="E10" s="119">
        <f>C10+D10</f>
        <v>-128259</v>
      </c>
      <c r="G10" s="118">
        <v>1265688</v>
      </c>
      <c r="H10" s="67">
        <f>D10</f>
        <v>0</v>
      </c>
      <c r="I10" s="119">
        <f>G10+H10</f>
        <v>1265688</v>
      </c>
    </row>
    <row r="11" spans="2:9" ht="12.75">
      <c r="B11" s="38"/>
      <c r="C11" s="120">
        <f>SUM(C8:C10)</f>
        <v>-137448</v>
      </c>
      <c r="D11" s="40">
        <f>SUM(D8:D10)</f>
        <v>0</v>
      </c>
      <c r="E11" s="120">
        <f>SUM(E8:E10)</f>
        <v>-137448</v>
      </c>
      <c r="G11" s="120">
        <f>SUM(G8:G10)</f>
        <v>5408468</v>
      </c>
      <c r="H11" s="40">
        <f>SUM(H8:H10)</f>
        <v>0</v>
      </c>
      <c r="I11" s="120">
        <f>SUM(I8:I10)</f>
        <v>5408468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0</v>
      </c>
      <c r="D14" s="67">
        <v>0</v>
      </c>
      <c r="E14" s="119">
        <f>C14+D14</f>
        <v>0</v>
      </c>
      <c r="G14" s="118">
        <v>3352544</v>
      </c>
      <c r="H14" s="67">
        <f>D14</f>
        <v>0</v>
      </c>
      <c r="I14" s="119">
        <f>G14+H14</f>
        <v>3352544</v>
      </c>
    </row>
    <row r="15" spans="2:9" ht="12.75">
      <c r="B15" s="35" t="s">
        <v>507</v>
      </c>
      <c r="C15" s="118">
        <v>-137448</v>
      </c>
      <c r="D15" s="67">
        <v>0</v>
      </c>
      <c r="E15" s="119">
        <f>C15+D15</f>
        <v>-137448</v>
      </c>
      <c r="G15" s="118">
        <v>1522911</v>
      </c>
      <c r="H15" s="67">
        <f>D15</f>
        <v>0</v>
      </c>
      <c r="I15" s="119">
        <f>G15+H15</f>
        <v>1522911</v>
      </c>
    </row>
    <row r="16" spans="2:9" ht="12.75">
      <c r="B16" s="35" t="s">
        <v>508</v>
      </c>
      <c r="C16" s="118">
        <v>0</v>
      </c>
      <c r="D16" s="67">
        <v>0</v>
      </c>
      <c r="E16" s="119">
        <f>C16+D16</f>
        <v>0</v>
      </c>
      <c r="G16" s="118">
        <v>241202</v>
      </c>
      <c r="H16" s="67">
        <f>D16</f>
        <v>0</v>
      </c>
      <c r="I16" s="119">
        <f>G16+H16</f>
        <v>241202</v>
      </c>
    </row>
    <row r="17" spans="2:9" ht="12.75">
      <c r="B17" s="38"/>
      <c r="C17" s="120">
        <f>SUM(C14:C16)</f>
        <v>-137448</v>
      </c>
      <c r="D17" s="40">
        <f>SUM(D14:D16)</f>
        <v>0</v>
      </c>
      <c r="E17" s="120">
        <f>SUM(E14:E16)</f>
        <v>-137448</v>
      </c>
      <c r="G17" s="120">
        <f>SUM(G14:G16)</f>
        <v>5116657</v>
      </c>
      <c r="H17" s="40">
        <f>SUM(H14:H16)</f>
        <v>0</v>
      </c>
      <c r="I17" s="120">
        <f>SUM(I14:I16)</f>
        <v>5116657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</v>
      </c>
      <c r="D19" s="71" t="s">
        <v>1</v>
      </c>
      <c r="E19" s="68">
        <f>(E11-E17)/E11</f>
        <v>0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0</v>
      </c>
      <c r="D20" s="67">
        <v>0</v>
      </c>
      <c r="E20" s="119">
        <f>C20+D20</f>
        <v>0</v>
      </c>
      <c r="G20" s="118">
        <v>201024</v>
      </c>
      <c r="H20" s="67">
        <v>2021</v>
      </c>
      <c r="I20" s="119">
        <f>G20+H20</f>
        <v>203045</v>
      </c>
    </row>
    <row r="21" spans="2:9" ht="12.75">
      <c r="B21" s="35" t="s">
        <v>511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90787</v>
      </c>
      <c r="H21" s="40">
        <f>H11-H17-H20</f>
        <v>-2021</v>
      </c>
      <c r="I21" s="120">
        <f>I11-I17-I20</f>
        <v>88766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0</v>
      </c>
      <c r="D24" s="40">
        <v>0</v>
      </c>
      <c r="E24" s="120">
        <f>C24+D24</f>
        <v>0</v>
      </c>
      <c r="G24" s="120">
        <v>-10604</v>
      </c>
      <c r="H24" s="40">
        <f>D24</f>
        <v>0</v>
      </c>
      <c r="I24" s="120">
        <f>G24+H24</f>
        <v>-10604</v>
      </c>
    </row>
    <row r="25" spans="2:9" ht="409.5">
      <c r="B25" s="30"/>
      <c r="C25" s="118"/>
      <c r="D25" s="67"/>
      <c r="E25" s="34"/>
      <c r="G25" s="118"/>
      <c r="H25" s="1"/>
      <c r="I25" s="34"/>
    </row>
    <row r="26" spans="2:9" ht="409.5">
      <c r="B26" s="46" t="s">
        <v>513</v>
      </c>
      <c r="C26" s="118"/>
      <c r="D26" s="44"/>
      <c r="E26" s="118"/>
      <c r="G26" s="118"/>
      <c r="H26" s="44"/>
      <c r="I26" s="118"/>
    </row>
    <row r="27" spans="2:9" ht="409.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409.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409.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516</v>
      </c>
      <c r="C30" s="118">
        <f>C21+C24+C29</f>
        <v>0</v>
      </c>
      <c r="D30" s="44">
        <f>D21+D24+D29</f>
        <v>0</v>
      </c>
      <c r="E30" s="118">
        <f>E21+E24+E29</f>
        <v>0</v>
      </c>
      <c r="G30" s="118">
        <f>G21+G24+G29</f>
        <v>80183</v>
      </c>
      <c r="H30" s="44">
        <f>H21+H24+H29</f>
        <v>-2021</v>
      </c>
      <c r="I30" s="118">
        <f>I21+I24+I29</f>
        <v>78162</v>
      </c>
    </row>
    <row r="31" spans="2:9" ht="409.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0</v>
      </c>
      <c r="D33" s="124">
        <f>SUM(D30:D32)</f>
        <v>0</v>
      </c>
      <c r="E33" s="123">
        <f>SUM(E30:E32)</f>
        <v>0</v>
      </c>
      <c r="G33" s="123">
        <f>SUM(G30:G32)</f>
        <v>80183</v>
      </c>
      <c r="H33" s="124">
        <f>SUM(H30:H32)</f>
        <v>-2021</v>
      </c>
      <c r="I33" s="123">
        <f>SUM(I30:I32)</f>
        <v>78162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409.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965</v>
      </c>
      <c r="D42" s="29" t="s">
        <v>965</v>
      </c>
      <c r="E42" s="28" t="s">
        <v>965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409.5">
      <c r="B44" s="33" t="s">
        <v>521</v>
      </c>
      <c r="C44" s="55"/>
      <c r="E44" s="114"/>
      <c r="G44" s="55"/>
      <c r="H44" s="1"/>
      <c r="I44" s="114"/>
    </row>
    <row r="45" spans="2:9" ht="409.5">
      <c r="B45" s="35" t="s">
        <v>522</v>
      </c>
      <c r="C45" s="118">
        <f>C33</f>
        <v>0</v>
      </c>
      <c r="D45" s="44">
        <f>D33</f>
        <v>0</v>
      </c>
      <c r="E45" s="118">
        <f>E33</f>
        <v>0</v>
      </c>
      <c r="G45" s="118">
        <f>G33</f>
        <v>80183</v>
      </c>
      <c r="H45" s="44">
        <f>H33</f>
        <v>-2021</v>
      </c>
      <c r="I45" s="118">
        <f>I33</f>
        <v>78162</v>
      </c>
    </row>
    <row r="46" spans="2:9" ht="409.5">
      <c r="B46" s="35" t="s">
        <v>523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201024</v>
      </c>
      <c r="H46" s="44">
        <f>H20</f>
        <v>2021</v>
      </c>
      <c r="I46" s="118">
        <f>I20</f>
        <v>203045</v>
      </c>
    </row>
    <row r="47" spans="2:9" ht="409.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v>38085</v>
      </c>
      <c r="H47" s="67">
        <f>D47</f>
        <v>0</v>
      </c>
      <c r="I47" s="125">
        <f>G47+H47</f>
        <v>38085</v>
      </c>
    </row>
    <row r="48" spans="2:9" ht="409.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409.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409.5">
      <c r="B50" s="35" t="s">
        <v>527</v>
      </c>
      <c r="C50" s="118">
        <v>0</v>
      </c>
      <c r="D50" s="44">
        <f>D16</f>
        <v>0</v>
      </c>
      <c r="E50" s="118">
        <f>E16</f>
        <v>0</v>
      </c>
      <c r="G50" s="118">
        <f>G16</f>
        <v>241202</v>
      </c>
      <c r="H50" s="44">
        <f>H16</f>
        <v>0</v>
      </c>
      <c r="I50" s="118">
        <f>I16</f>
        <v>241202</v>
      </c>
    </row>
    <row r="51" spans="2:9" ht="409.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409.5">
      <c r="B52" s="57" t="s">
        <v>529</v>
      </c>
      <c r="C52" s="120">
        <f>SUM(C45:C51)</f>
        <v>0</v>
      </c>
      <c r="D52" s="40">
        <f>SUM(D45:D51)</f>
        <v>0</v>
      </c>
      <c r="E52" s="120">
        <f>SUM(E45:E51)</f>
        <v>0</v>
      </c>
      <c r="G52" s="120">
        <f>SUM(G45:G51)</f>
        <v>560494</v>
      </c>
      <c r="H52" s="40">
        <f>SUM(H45:H51)</f>
        <v>0</v>
      </c>
      <c r="I52" s="120">
        <f>SUM(I45:I51)</f>
        <v>560494</v>
      </c>
    </row>
    <row r="53" spans="2:9" ht="409.5">
      <c r="B53" s="58" t="s">
        <v>530</v>
      </c>
      <c r="C53" s="118"/>
      <c r="D53" s="1"/>
      <c r="E53" s="114"/>
      <c r="G53" s="118"/>
      <c r="H53" s="1"/>
      <c r="I53" s="114"/>
    </row>
    <row r="54" spans="2:9" ht="409.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v>0</v>
      </c>
      <c r="H54" s="1">
        <f>D54</f>
        <v>0</v>
      </c>
      <c r="I54" s="125">
        <f>G54+H54</f>
        <v>0</v>
      </c>
    </row>
    <row r="55" spans="2:9" ht="409.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v>-5300</v>
      </c>
      <c r="H55" s="1">
        <f>D55</f>
        <v>0</v>
      </c>
      <c r="I55" s="125">
        <f>G55+H55</f>
        <v>-5300</v>
      </c>
    </row>
    <row r="56" spans="2:9" ht="409.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v>-10000</v>
      </c>
      <c r="H56" s="1">
        <f>D56</f>
        <v>0</v>
      </c>
      <c r="I56" s="125">
        <f>G56+H56</f>
        <v>-10000</v>
      </c>
    </row>
    <row r="57" spans="2:9" ht="409.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v>24800</v>
      </c>
      <c r="H57" s="1">
        <f>D57</f>
        <v>0</v>
      </c>
      <c r="I57" s="125">
        <f>G57+H57</f>
        <v>24800</v>
      </c>
    </row>
    <row r="58" spans="2:9" ht="409.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v>-105980</v>
      </c>
      <c r="H58" s="126">
        <f>D58</f>
        <v>0</v>
      </c>
      <c r="I58" s="147">
        <f>G58+H58</f>
        <v>-105980</v>
      </c>
    </row>
    <row r="59" spans="2:9" ht="409.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-96480</v>
      </c>
      <c r="H59" s="48">
        <f>SUM(H54:H58)</f>
        <v>0</v>
      </c>
      <c r="I59" s="121">
        <f>SUM(I54:I58)</f>
        <v>-96480</v>
      </c>
    </row>
    <row r="60" spans="2:9" ht="13.5" thickBot="1">
      <c r="B60" s="57" t="s">
        <v>536</v>
      </c>
      <c r="C60" s="123">
        <f>C52+C59</f>
        <v>0</v>
      </c>
      <c r="D60" s="124">
        <f>D52+D59</f>
        <v>0</v>
      </c>
      <c r="E60" s="123">
        <f>E52+E59</f>
        <v>0</v>
      </c>
      <c r="G60" s="123">
        <f>G52+G59</f>
        <v>464014</v>
      </c>
      <c r="H60" s="124">
        <f>H52+H59</f>
        <v>0</v>
      </c>
      <c r="I60" s="123">
        <f>I52+I59</f>
        <v>464014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537</v>
      </c>
      <c r="C62" s="60"/>
      <c r="D62" s="1"/>
      <c r="E62" s="114"/>
      <c r="G62" s="60"/>
      <c r="H62" s="1"/>
      <c r="I62" s="114"/>
    </row>
    <row r="63" spans="2:9" ht="409.5">
      <c r="B63" s="35" t="s">
        <v>538</v>
      </c>
      <c r="C63" s="118">
        <v>0</v>
      </c>
      <c r="D63" s="67">
        <v>0</v>
      </c>
      <c r="E63" s="125">
        <f aca="true" t="shared" si="0" ref="E63:E68">C63+D63</f>
        <v>0</v>
      </c>
      <c r="G63" s="118">
        <v>-145000</v>
      </c>
      <c r="H63" s="67">
        <f aca="true" t="shared" si="1" ref="H63:H68">D63</f>
        <v>0</v>
      </c>
      <c r="I63" s="125">
        <f aca="true" t="shared" si="2" ref="I63:I68">G63+H63</f>
        <v>-145000</v>
      </c>
    </row>
    <row r="64" spans="2:9" ht="409.5" outlineLevel="1">
      <c r="B64" s="35" t="s">
        <v>539</v>
      </c>
      <c r="C64" s="118">
        <v>0</v>
      </c>
      <c r="D64" s="67">
        <v>0</v>
      </c>
      <c r="E64" s="125">
        <f t="shared" si="0"/>
        <v>0</v>
      </c>
      <c r="G64" s="118">
        <v>0</v>
      </c>
      <c r="H64" s="67">
        <f t="shared" si="1"/>
        <v>0</v>
      </c>
      <c r="I64" s="125">
        <f t="shared" si="2"/>
        <v>0</v>
      </c>
    </row>
    <row r="65" spans="2:9" ht="409.5" outlineLevel="1">
      <c r="B65" s="35" t="s">
        <v>540</v>
      </c>
      <c r="C65" s="118">
        <v>0</v>
      </c>
      <c r="D65" s="67">
        <v>0</v>
      </c>
      <c r="E65" s="125">
        <f t="shared" si="0"/>
        <v>0</v>
      </c>
      <c r="G65" s="118">
        <v>0</v>
      </c>
      <c r="H65" s="67">
        <f t="shared" si="1"/>
        <v>0</v>
      </c>
      <c r="I65" s="125">
        <f t="shared" si="2"/>
        <v>0</v>
      </c>
    </row>
    <row r="66" spans="2:9" ht="409.5">
      <c r="B66" s="35" t="s">
        <v>541</v>
      </c>
      <c r="C66" s="118">
        <v>0</v>
      </c>
      <c r="D66" s="67">
        <v>0</v>
      </c>
      <c r="E66" s="125">
        <f t="shared" si="0"/>
        <v>0</v>
      </c>
      <c r="G66" s="118">
        <v>300</v>
      </c>
      <c r="H66" s="67">
        <f t="shared" si="1"/>
        <v>0</v>
      </c>
      <c r="I66" s="125">
        <f t="shared" si="2"/>
        <v>300</v>
      </c>
    </row>
    <row r="67" spans="2:9" ht="409.5" outlineLevel="1">
      <c r="B67" s="35" t="s">
        <v>542</v>
      </c>
      <c r="C67" s="118">
        <v>0</v>
      </c>
      <c r="D67" s="67">
        <v>0</v>
      </c>
      <c r="E67" s="125">
        <f t="shared" si="0"/>
        <v>0</v>
      </c>
      <c r="G67" s="118">
        <v>0</v>
      </c>
      <c r="H67" s="67">
        <f t="shared" si="1"/>
        <v>0</v>
      </c>
      <c r="I67" s="125">
        <f t="shared" si="2"/>
        <v>0</v>
      </c>
    </row>
    <row r="68" spans="2:9" ht="409.5" outlineLevel="1">
      <c r="B68" s="35" t="s">
        <v>528</v>
      </c>
      <c r="C68" s="118">
        <v>0</v>
      </c>
      <c r="D68" s="44">
        <v>0</v>
      </c>
      <c r="E68" s="125">
        <f t="shared" si="0"/>
        <v>0</v>
      </c>
      <c r="G68" s="118">
        <v>0</v>
      </c>
      <c r="H68" s="67">
        <f t="shared" si="1"/>
        <v>0</v>
      </c>
      <c r="I68" s="125">
        <f t="shared" si="2"/>
        <v>0</v>
      </c>
    </row>
    <row r="69" spans="2:9" ht="409.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-144700</v>
      </c>
      <c r="H69" s="40">
        <f>SUM(H63:H68)</f>
        <v>0</v>
      </c>
      <c r="I69" s="120">
        <f>SUM(I63:I68)</f>
        <v>-144700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543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957</v>
      </c>
      <c r="C72" s="118">
        <v>0</v>
      </c>
      <c r="D72" s="67">
        <v>0</v>
      </c>
      <c r="E72" s="125">
        <f>C72+D72</f>
        <v>0</v>
      </c>
      <c r="G72" s="118">
        <v>0</v>
      </c>
      <c r="H72" s="67">
        <f>D72</f>
        <v>0</v>
      </c>
      <c r="I72" s="125">
        <f>G72+H72</f>
        <v>0</v>
      </c>
    </row>
    <row r="73" spans="2:9" ht="409.5" outlineLevel="1">
      <c r="B73" s="35" t="s">
        <v>545</v>
      </c>
      <c r="C73" s="118">
        <v>0</v>
      </c>
      <c r="D73" s="67">
        <v>0</v>
      </c>
      <c r="E73" s="125">
        <f aca="true" t="shared" si="3" ref="E73:E81">C73+D73</f>
        <v>0</v>
      </c>
      <c r="G73" s="118">
        <v>0</v>
      </c>
      <c r="H73" s="67">
        <f aca="true" t="shared" si="4" ref="H73:H81">D73</f>
        <v>0</v>
      </c>
      <c r="I73" s="125">
        <f aca="true" t="shared" si="5" ref="I73:I81">G73+H73</f>
        <v>0</v>
      </c>
    </row>
    <row r="74" spans="2:9" ht="409.5" outlineLevel="1">
      <c r="B74" s="35" t="s">
        <v>546</v>
      </c>
      <c r="C74" s="118">
        <v>0</v>
      </c>
      <c r="D74" s="67">
        <v>0</v>
      </c>
      <c r="E74" s="125">
        <f t="shared" si="3"/>
        <v>0</v>
      </c>
      <c r="G74" s="118">
        <v>0</v>
      </c>
      <c r="H74" s="67">
        <f t="shared" si="4"/>
        <v>0</v>
      </c>
      <c r="I74" s="125">
        <f t="shared" si="5"/>
        <v>0</v>
      </c>
    </row>
    <row r="75" spans="2:9" ht="409.5" outlineLevel="1">
      <c r="B75" s="35" t="s">
        <v>954</v>
      </c>
      <c r="C75" s="118">
        <v>0</v>
      </c>
      <c r="D75" s="67"/>
      <c r="E75" s="125"/>
      <c r="G75" s="118"/>
      <c r="H75" s="67"/>
      <c r="I75" s="125"/>
    </row>
    <row r="76" spans="2:9" ht="409.5" outlineLevel="1">
      <c r="B76" s="35" t="s">
        <v>955</v>
      </c>
      <c r="C76" s="118">
        <v>0</v>
      </c>
      <c r="D76" s="67"/>
      <c r="E76" s="125"/>
      <c r="G76" s="118"/>
      <c r="H76" s="67"/>
      <c r="I76" s="125"/>
    </row>
    <row r="77" spans="2:9" ht="409.5">
      <c r="B77" s="35" t="s">
        <v>547</v>
      </c>
      <c r="C77" s="118">
        <v>0</v>
      </c>
      <c r="D77" s="67">
        <v>0</v>
      </c>
      <c r="E77" s="125">
        <f t="shared" si="3"/>
        <v>0</v>
      </c>
      <c r="G77" s="118">
        <v>-281186</v>
      </c>
      <c r="H77" s="67">
        <f t="shared" si="4"/>
        <v>0</v>
      </c>
      <c r="I77" s="125">
        <f t="shared" si="5"/>
        <v>-281186</v>
      </c>
    </row>
    <row r="78" spans="2:9" ht="409.5">
      <c r="B78" s="35" t="s">
        <v>548</v>
      </c>
      <c r="C78" s="118">
        <v>0</v>
      </c>
      <c r="D78" s="67">
        <v>0</v>
      </c>
      <c r="E78" s="125">
        <f t="shared" si="3"/>
        <v>0</v>
      </c>
      <c r="G78" s="118">
        <v>0</v>
      </c>
      <c r="H78" s="67">
        <f t="shared" si="4"/>
        <v>0</v>
      </c>
      <c r="I78" s="125">
        <f t="shared" si="5"/>
        <v>0</v>
      </c>
    </row>
    <row r="79" spans="2:9" ht="409.5">
      <c r="B79" s="35" t="s">
        <v>549</v>
      </c>
      <c r="C79" s="118">
        <v>0</v>
      </c>
      <c r="D79" s="67">
        <v>0</v>
      </c>
      <c r="E79" s="125">
        <f t="shared" si="3"/>
        <v>0</v>
      </c>
      <c r="G79" s="118">
        <v>-33</v>
      </c>
      <c r="H79" s="67">
        <f t="shared" si="4"/>
        <v>0</v>
      </c>
      <c r="I79" s="125">
        <f t="shared" si="5"/>
        <v>-33</v>
      </c>
    </row>
    <row r="80" spans="2:9" ht="409.5">
      <c r="B80" s="35" t="s">
        <v>550</v>
      </c>
      <c r="C80" s="118">
        <v>0</v>
      </c>
      <c r="D80" s="67">
        <v>0</v>
      </c>
      <c r="E80" s="125">
        <f t="shared" si="3"/>
        <v>0</v>
      </c>
      <c r="G80" s="118">
        <v>-128046</v>
      </c>
      <c r="H80" s="67">
        <f t="shared" si="4"/>
        <v>0</v>
      </c>
      <c r="I80" s="125">
        <f t="shared" si="5"/>
        <v>-128046</v>
      </c>
    </row>
    <row r="81" spans="2:9" ht="409.5">
      <c r="B81" s="35" t="s">
        <v>528</v>
      </c>
      <c r="C81" s="118">
        <v>0</v>
      </c>
      <c r="D81" s="67">
        <v>0</v>
      </c>
      <c r="E81" s="125">
        <f t="shared" si="3"/>
        <v>0</v>
      </c>
      <c r="G81" s="118">
        <v>0</v>
      </c>
      <c r="H81" s="67">
        <f t="shared" si="4"/>
        <v>0</v>
      </c>
      <c r="I81" s="125">
        <f t="shared" si="5"/>
        <v>0</v>
      </c>
    </row>
    <row r="82" spans="2:9" ht="409.5">
      <c r="B82" s="30" t="s">
        <v>543</v>
      </c>
      <c r="C82" s="120">
        <f>SUM(C72:C81)</f>
        <v>0</v>
      </c>
      <c r="D82" s="40">
        <f>SUM(D72:D81)</f>
        <v>0</v>
      </c>
      <c r="E82" s="120">
        <f>SUM(E72:E81)</f>
        <v>0</v>
      </c>
      <c r="G82" s="120">
        <f>SUM(G72:G81)</f>
        <v>-409265</v>
      </c>
      <c r="H82" s="40">
        <f>SUM(H72:H81)</f>
        <v>0</v>
      </c>
      <c r="I82" s="120">
        <f>SUM(I72:I81)</f>
        <v>-409265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-89951</v>
      </c>
      <c r="H84" s="44">
        <f>H60+H69+H82</f>
        <v>0</v>
      </c>
      <c r="I84" s="118">
        <f>I60+I69+I82</f>
        <v>-89951</v>
      </c>
    </row>
    <row r="85" spans="2:9" ht="409.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f>363147+293276</f>
        <v>656423</v>
      </c>
      <c r="H85" s="48">
        <v>0</v>
      </c>
      <c r="I85" s="121">
        <f>363147+293276</f>
        <v>656423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566472</v>
      </c>
      <c r="H86" s="124">
        <f>SUM(H84:H85)</f>
        <v>0</v>
      </c>
      <c r="I86" s="123">
        <f>SUM(I84:I85)</f>
        <v>566472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965</v>
      </c>
      <c r="D92" s="29" t="s">
        <v>965</v>
      </c>
      <c r="E92" s="28" t="s">
        <v>965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714</v>
      </c>
      <c r="I93" s="116" t="s">
        <v>501</v>
      </c>
      <c r="J93" s="158" t="s">
        <v>500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v>0</v>
      </c>
      <c r="D96" s="67">
        <v>0</v>
      </c>
      <c r="E96" s="125">
        <f>C96+D96</f>
        <v>0</v>
      </c>
      <c r="G96" s="118">
        <f>4265246+J96</f>
        <v>4287372</v>
      </c>
      <c r="H96" s="67">
        <f>D96</f>
        <v>0</v>
      </c>
      <c r="I96" s="125">
        <f>G96+H96</f>
        <v>4287372</v>
      </c>
      <c r="J96" s="159">
        <v>22126</v>
      </c>
    </row>
    <row r="97" spans="2:10" ht="409.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v>686965</v>
      </c>
      <c r="H97" s="67">
        <f>D97</f>
        <v>0</v>
      </c>
      <c r="I97" s="125">
        <f>G97+H97</f>
        <v>686965</v>
      </c>
      <c r="J97" s="159">
        <v>0</v>
      </c>
    </row>
    <row r="98" spans="2:10" ht="409.5">
      <c r="B98" s="35" t="s">
        <v>560</v>
      </c>
      <c r="C98" s="118">
        <v>0</v>
      </c>
      <c r="D98" s="67">
        <v>0</v>
      </c>
      <c r="E98" s="125">
        <f>C98+D98</f>
        <v>0</v>
      </c>
      <c r="G98" s="118">
        <f>76860+J98</f>
        <v>112950</v>
      </c>
      <c r="H98" s="67">
        <f>D98</f>
        <v>0</v>
      </c>
      <c r="I98" s="125">
        <f>G98+H98</f>
        <v>112950</v>
      </c>
      <c r="J98" s="159">
        <v>36090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5087287</v>
      </c>
      <c r="H100" s="40">
        <f>SUM(H96:H99)</f>
        <v>0</v>
      </c>
      <c r="I100" s="120">
        <f>SUM(I96:I99)</f>
        <v>5087287</v>
      </c>
      <c r="J100" s="160">
        <f>SUM(J96:J99)</f>
        <v>58216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6" ref="E102:E107">C102+D102</f>
        <v>0</v>
      </c>
      <c r="G102" s="118">
        <f>6577634+J102</f>
        <v>5279158</v>
      </c>
      <c r="H102" s="67">
        <f aca="true" t="shared" si="7" ref="H102:H107">D102</f>
        <v>0</v>
      </c>
      <c r="I102" s="125">
        <f aca="true" t="shared" si="8" ref="I102:I107">G102+H102</f>
        <v>5279158</v>
      </c>
      <c r="J102" s="159">
        <v>-1298476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6"/>
        <v>0</v>
      </c>
      <c r="G103" s="118">
        <v>0</v>
      </c>
      <c r="H103" s="67">
        <f t="shared" si="7"/>
        <v>0</v>
      </c>
      <c r="I103" s="125">
        <f t="shared" si="8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6"/>
        <v>0</v>
      </c>
      <c r="G104" s="118">
        <v>0</v>
      </c>
      <c r="H104" s="67">
        <f t="shared" si="7"/>
        <v>0</v>
      </c>
      <c r="I104" s="125">
        <f t="shared" si="8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6"/>
        <v>0</v>
      </c>
      <c r="G105" s="118">
        <f>738726+J105</f>
        <v>856846</v>
      </c>
      <c r="H105" s="67">
        <f t="shared" si="7"/>
        <v>0</v>
      </c>
      <c r="I105" s="125">
        <f t="shared" si="8"/>
        <v>856846</v>
      </c>
      <c r="J105" s="159">
        <f>152534-34414</f>
        <v>118120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6"/>
        <v>0</v>
      </c>
      <c r="G106" s="118">
        <v>0</v>
      </c>
      <c r="H106" s="67">
        <f t="shared" si="7"/>
        <v>0</v>
      </c>
      <c r="I106" s="125">
        <f t="shared" si="8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6"/>
        <v>0</v>
      </c>
      <c r="G107" s="118">
        <v>0</v>
      </c>
      <c r="H107" s="67">
        <f t="shared" si="7"/>
        <v>0</v>
      </c>
      <c r="I107" s="125">
        <f t="shared" si="8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6136004</v>
      </c>
      <c r="H108" s="40">
        <f>SUM(H102:H107)</f>
        <v>0</v>
      </c>
      <c r="I108" s="120">
        <f>SUM(I102:I107)</f>
        <v>6136004</v>
      </c>
      <c r="J108" s="160">
        <f>SUM(J102:J107)</f>
        <v>-1180356</v>
      </c>
    </row>
    <row r="109" spans="2:10" ht="409.5">
      <c r="B109" s="30" t="s">
        <v>556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11223291</v>
      </c>
      <c r="H109" s="40">
        <f>H100+H108</f>
        <v>0</v>
      </c>
      <c r="I109" s="120">
        <f>I100+I108</f>
        <v>11223291</v>
      </c>
      <c r="J109" s="160">
        <f>J100+J108</f>
        <v>-1122140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3368+J111</f>
        <v>1200</v>
      </c>
      <c r="H111" s="67">
        <f>D111</f>
        <v>0</v>
      </c>
      <c r="I111" s="125">
        <f>G111+H111</f>
        <v>1200</v>
      </c>
      <c r="J111" s="159">
        <v>-2168</v>
      </c>
    </row>
    <row r="112" spans="2:10" ht="409.5">
      <c r="B112" s="35" t="s">
        <v>571</v>
      </c>
      <c r="C112" s="118">
        <v>0</v>
      </c>
      <c r="D112" s="67">
        <v>0</v>
      </c>
      <c r="E112" s="125">
        <f aca="true" t="shared" si="9" ref="E112:E118">C112+D112</f>
        <v>0</v>
      </c>
      <c r="G112" s="118">
        <f>363123+J112</f>
        <v>416504</v>
      </c>
      <c r="H112" s="67">
        <f aca="true" t="shared" si="10" ref="H112:H118">D112</f>
        <v>0</v>
      </c>
      <c r="I112" s="125">
        <f aca="true" t="shared" si="11" ref="I112:I118">G112+H112</f>
        <v>416504</v>
      </c>
      <c r="J112" s="159">
        <v>53381</v>
      </c>
    </row>
    <row r="113" spans="2:10" ht="409.5">
      <c r="B113" s="35" t="s">
        <v>572</v>
      </c>
      <c r="C113" s="118">
        <v>-1238</v>
      </c>
      <c r="D113" s="67">
        <v>0</v>
      </c>
      <c r="E113" s="125">
        <f t="shared" si="9"/>
        <v>-1238</v>
      </c>
      <c r="G113" s="118">
        <f>0+J113</f>
        <v>2395</v>
      </c>
      <c r="H113" s="67">
        <f t="shared" si="10"/>
        <v>0</v>
      </c>
      <c r="I113" s="125">
        <f t="shared" si="11"/>
        <v>2395</v>
      </c>
      <c r="J113" s="159">
        <v>2395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9"/>
        <v>0</v>
      </c>
      <c r="G114" s="118">
        <f>39545+J114</f>
        <v>73911</v>
      </c>
      <c r="H114" s="67">
        <f t="shared" si="10"/>
        <v>0</v>
      </c>
      <c r="I114" s="125">
        <f t="shared" si="11"/>
        <v>73911</v>
      </c>
      <c r="J114" s="159">
        <v>34366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9"/>
        <v>0</v>
      </c>
      <c r="G115" s="118">
        <v>37274</v>
      </c>
      <c r="H115" s="67">
        <f t="shared" si="10"/>
        <v>0</v>
      </c>
      <c r="I115" s="125">
        <f t="shared" si="11"/>
        <v>37274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9"/>
        <v>0</v>
      </c>
      <c r="G116" s="118">
        <v>0</v>
      </c>
      <c r="H116" s="67">
        <f t="shared" si="10"/>
        <v>0</v>
      </c>
      <c r="I116" s="125">
        <f t="shared" si="11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9"/>
        <v>0</v>
      </c>
      <c r="G117" s="118">
        <v>0</v>
      </c>
      <c r="H117" s="67">
        <f t="shared" si="10"/>
        <v>0</v>
      </c>
      <c r="I117" s="125">
        <f t="shared" si="11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9"/>
        <v>0</v>
      </c>
      <c r="G118" s="118">
        <v>0</v>
      </c>
      <c r="H118" s="67">
        <f t="shared" si="10"/>
        <v>0</v>
      </c>
      <c r="I118" s="125">
        <f t="shared" si="11"/>
        <v>0</v>
      </c>
      <c r="J118" s="159">
        <v>0</v>
      </c>
    </row>
    <row r="119" spans="2:10" ht="409.5">
      <c r="B119" s="35" t="s">
        <v>41</v>
      </c>
      <c r="C119" s="118">
        <v>0</v>
      </c>
      <c r="D119" s="44">
        <f>D84</f>
        <v>0</v>
      </c>
      <c r="E119" s="118">
        <f>E86</f>
        <v>0</v>
      </c>
      <c r="G119" s="118">
        <f>G86</f>
        <v>566472</v>
      </c>
      <c r="H119" s="44">
        <f>H84</f>
        <v>0</v>
      </c>
      <c r="I119" s="118">
        <f>I86</f>
        <v>566472</v>
      </c>
      <c r="J119" s="159">
        <v>293276</v>
      </c>
    </row>
    <row r="120" spans="2:10" ht="409.5">
      <c r="B120" s="30" t="s">
        <v>569</v>
      </c>
      <c r="C120" s="120">
        <f>SUM(C111:C119)</f>
        <v>-1238</v>
      </c>
      <c r="D120" s="40">
        <f>SUM(D111:D119)</f>
        <v>0</v>
      </c>
      <c r="E120" s="120">
        <f>SUM(E111:E119)</f>
        <v>-1238</v>
      </c>
      <c r="G120" s="120">
        <f>SUM(G111:G119)</f>
        <v>1097756</v>
      </c>
      <c r="H120" s="40">
        <f>SUM(H111:H119)</f>
        <v>0</v>
      </c>
      <c r="I120" s="120">
        <f>SUM(I111:I119)</f>
        <v>1097756</v>
      </c>
      <c r="J120" s="160">
        <f>SUM(J111:J119)</f>
        <v>381250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-1238</v>
      </c>
      <c r="D122" s="128">
        <f>D109+D120</f>
        <v>0</v>
      </c>
      <c r="E122" s="127">
        <f>E109+E120</f>
        <v>-1238</v>
      </c>
      <c r="G122" s="127">
        <f>G109+G120</f>
        <v>12321047</v>
      </c>
      <c r="H122" s="128">
        <f>H109+H120</f>
        <v>0</v>
      </c>
      <c r="I122" s="127">
        <f>I109+I120</f>
        <v>12321047</v>
      </c>
      <c r="J122" s="161">
        <f>J109+J120</f>
        <v>-740890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965</v>
      </c>
      <c r="D130" s="29" t="s">
        <v>965</v>
      </c>
      <c r="E130" s="28" t="s">
        <v>965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500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0</v>
      </c>
      <c r="D133" s="67">
        <f>D45</f>
        <v>0</v>
      </c>
      <c r="E133" s="125">
        <f>C133+D133</f>
        <v>0</v>
      </c>
      <c r="G133" s="118">
        <f>6953043+J133</f>
        <v>5832168</v>
      </c>
      <c r="H133" s="67">
        <f>H45</f>
        <v>-2021</v>
      </c>
      <c r="I133" s="125">
        <f>G133+H133</f>
        <v>5830147</v>
      </c>
      <c r="J133" s="159">
        <v>-1120875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0</v>
      </c>
      <c r="D136" s="40">
        <f>SUM(D133:D135)</f>
        <v>0</v>
      </c>
      <c r="E136" s="120">
        <f>SUM(E133:E135)</f>
        <v>0</v>
      </c>
      <c r="G136" s="120">
        <f>SUM(G133:G135)</f>
        <v>5835621</v>
      </c>
      <c r="H136" s="40">
        <f>SUM(H133:H135)</f>
        <v>-2021</v>
      </c>
      <c r="I136" s="120">
        <f>SUM(I133:I135)</f>
        <v>5833600</v>
      </c>
      <c r="J136" s="160">
        <f>SUM(J133:J135)</f>
        <v>-1119944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1">
        <v>0</v>
      </c>
      <c r="E149" s="125">
        <f aca="true" t="shared" si="12" ref="E149:E157">C149+D149</f>
        <v>0</v>
      </c>
      <c r="G149" s="118">
        <f>67464+J149</f>
        <v>234546</v>
      </c>
      <c r="H149" s="1">
        <f aca="true" t="shared" si="13" ref="H149:H157">D149</f>
        <v>0</v>
      </c>
      <c r="I149" s="125">
        <f aca="true" t="shared" si="14" ref="I149:I157">G149+H149</f>
        <v>234546</v>
      </c>
      <c r="J149" s="159">
        <v>167082</v>
      </c>
    </row>
    <row r="150" spans="2:10" ht="409.5">
      <c r="B150" s="35" t="s">
        <v>590</v>
      </c>
      <c r="C150" s="118">
        <v>-1238</v>
      </c>
      <c r="D150" s="1">
        <v>0</v>
      </c>
      <c r="E150" s="125">
        <f t="shared" si="12"/>
        <v>-1238</v>
      </c>
      <c r="G150" s="118">
        <f>0+J150</f>
        <v>681</v>
      </c>
      <c r="H150" s="1">
        <f t="shared" si="13"/>
        <v>0</v>
      </c>
      <c r="I150" s="125">
        <f t="shared" si="14"/>
        <v>681</v>
      </c>
      <c r="J150" s="159">
        <v>681</v>
      </c>
    </row>
    <row r="151" spans="2:10" ht="409.5">
      <c r="B151" s="35" t="s">
        <v>594</v>
      </c>
      <c r="C151" s="118">
        <v>0</v>
      </c>
      <c r="D151" s="1">
        <v>0</v>
      </c>
      <c r="E151" s="125">
        <f t="shared" si="12"/>
        <v>0</v>
      </c>
      <c r="G151" s="118">
        <f>310107+J151</f>
        <v>306446</v>
      </c>
      <c r="H151" s="1">
        <f t="shared" si="13"/>
        <v>0</v>
      </c>
      <c r="I151" s="125">
        <f t="shared" si="14"/>
        <v>306446</v>
      </c>
      <c r="J151" s="159">
        <v>-3661</v>
      </c>
    </row>
    <row r="152" spans="2:10" ht="409.5">
      <c r="B152" s="69" t="s">
        <v>595</v>
      </c>
      <c r="C152" s="118">
        <v>0</v>
      </c>
      <c r="D152" s="1">
        <v>0</v>
      </c>
      <c r="E152" s="125">
        <f t="shared" si="12"/>
        <v>0</v>
      </c>
      <c r="G152" s="118">
        <f>67000+J152</f>
        <v>52013</v>
      </c>
      <c r="H152" s="1">
        <f t="shared" si="13"/>
        <v>0</v>
      </c>
      <c r="I152" s="125">
        <f t="shared" si="14"/>
        <v>52013</v>
      </c>
      <c r="J152" s="159">
        <v>-14987</v>
      </c>
    </row>
    <row r="153" spans="2:10" ht="409.5">
      <c r="B153" s="35" t="s">
        <v>596</v>
      </c>
      <c r="C153" s="118">
        <v>0</v>
      </c>
      <c r="D153" s="1">
        <v>0</v>
      </c>
      <c r="E153" s="125">
        <f t="shared" si="12"/>
        <v>0</v>
      </c>
      <c r="G153" s="118">
        <v>0</v>
      </c>
      <c r="H153" s="1">
        <f t="shared" si="13"/>
        <v>0</v>
      </c>
      <c r="I153" s="125">
        <f t="shared" si="14"/>
        <v>0</v>
      </c>
      <c r="J153" s="159">
        <v>0</v>
      </c>
    </row>
    <row r="154" spans="2:10" ht="409.5">
      <c r="B154" s="35" t="s">
        <v>597</v>
      </c>
      <c r="C154" s="118">
        <v>0</v>
      </c>
      <c r="D154" s="1">
        <v>0</v>
      </c>
      <c r="E154" s="125">
        <f t="shared" si="12"/>
        <v>0</v>
      </c>
      <c r="G154" s="118">
        <v>0</v>
      </c>
      <c r="H154" s="1">
        <f t="shared" si="13"/>
        <v>0</v>
      </c>
      <c r="I154" s="125">
        <f t="shared" si="14"/>
        <v>0</v>
      </c>
      <c r="J154" s="159">
        <v>0</v>
      </c>
    </row>
    <row r="155" spans="2:10" ht="409.5">
      <c r="B155" s="35" t="s">
        <v>598</v>
      </c>
      <c r="C155" s="118">
        <v>0</v>
      </c>
      <c r="D155" s="1">
        <v>0</v>
      </c>
      <c r="E155" s="125">
        <f t="shared" si="12"/>
        <v>0</v>
      </c>
      <c r="G155" s="118">
        <v>0</v>
      </c>
      <c r="H155" s="1">
        <f t="shared" si="13"/>
        <v>0</v>
      </c>
      <c r="I155" s="125">
        <f t="shared" si="14"/>
        <v>0</v>
      </c>
      <c r="J155" s="159">
        <v>0</v>
      </c>
    </row>
    <row r="156" spans="2:10" ht="409.5">
      <c r="B156" s="35" t="s">
        <v>599</v>
      </c>
      <c r="C156" s="118">
        <v>0</v>
      </c>
      <c r="D156" s="1">
        <v>0</v>
      </c>
      <c r="E156" s="125">
        <f t="shared" si="12"/>
        <v>0</v>
      </c>
      <c r="G156" s="118">
        <f>252116+J156</f>
        <v>397214</v>
      </c>
      <c r="H156" s="1">
        <f t="shared" si="13"/>
        <v>0</v>
      </c>
      <c r="I156" s="125">
        <f t="shared" si="14"/>
        <v>397214</v>
      </c>
      <c r="J156" s="159">
        <v>145098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12"/>
        <v>0</v>
      </c>
      <c r="G157" s="118">
        <v>0</v>
      </c>
      <c r="H157" s="1">
        <f t="shared" si="13"/>
        <v>0</v>
      </c>
      <c r="I157" s="125">
        <f t="shared" si="14"/>
        <v>0</v>
      </c>
      <c r="J157" s="159">
        <v>0</v>
      </c>
    </row>
    <row r="158" spans="2:10" ht="409.5">
      <c r="B158" s="30" t="s">
        <v>592</v>
      </c>
      <c r="C158" s="120">
        <f>SUM(C148:C157)</f>
        <v>-1238</v>
      </c>
      <c r="D158" s="40">
        <f>SUM(D148:D157)</f>
        <v>0</v>
      </c>
      <c r="E158" s="120">
        <f>SUM(E148:E157)</f>
        <v>-1238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-1238</v>
      </c>
      <c r="D160" s="40">
        <f>D140+D146+D158</f>
        <v>0</v>
      </c>
      <c r="E160" s="120">
        <f>E140+E146+E158</f>
        <v>-1238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-1238</v>
      </c>
      <c r="D162" s="127">
        <f>D136+D160</f>
        <v>0</v>
      </c>
      <c r="E162" s="127">
        <f>E136+E160</f>
        <v>-1238</v>
      </c>
      <c r="G162" s="127">
        <f>G136+G160</f>
        <v>12321047</v>
      </c>
      <c r="H162" s="128">
        <f>H136+H160</f>
        <v>-2021</v>
      </c>
      <c r="I162" s="127">
        <f>I136+I160</f>
        <v>12319026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2021</v>
      </c>
      <c r="I165" s="3">
        <f>I122-I162</f>
        <v>2021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49">
      <selection activeCell="H132" sqref="H132"/>
    </sheetView>
  </sheetViews>
  <sheetFormatPr defaultColWidth="9.140625" defaultRowHeight="12.75" outlineLevelRow="1" outlineLevelCol="1"/>
  <cols>
    <col min="1" max="1" width="3.28125" style="0" customWidth="1"/>
    <col min="2" max="2" width="52.421875" style="0" customWidth="1"/>
    <col min="3" max="3" width="10.140625" style="0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customWidth="1" outlineLevel="1"/>
    <col min="8" max="8" width="8.8515625" style="0" customWidth="1" outlineLevel="1"/>
    <col min="9" max="9" width="14.28125" style="0" customWidth="1" outlineLevel="1"/>
    <col min="10" max="10" width="9.7109375" style="0" customWidth="1" outlineLevel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14</v>
      </c>
      <c r="D5" s="29" t="s">
        <v>14</v>
      </c>
      <c r="E5" s="28" t="s">
        <v>14</v>
      </c>
      <c r="G5" s="28" t="s">
        <v>498</v>
      </c>
      <c r="H5" s="29" t="s">
        <v>498</v>
      </c>
      <c r="I5" s="28" t="s">
        <v>498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1596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A-hlu'!C8</f>
        <v>4067408</v>
      </c>
      <c r="D8" s="67">
        <f>'rekst - sjóðstr - efnah - A-hlu'!D8</f>
        <v>0</v>
      </c>
      <c r="E8" s="119">
        <f>C8+D8</f>
        <v>4067408</v>
      </c>
      <c r="G8" s="118">
        <f>'rekst - sjóðstr - efnah - B-hlu'!C8+'rekst - sjóðstr - efnah - mill '!C8+'rekst - sjóðstr - efnah - A-B h'!C8</f>
        <v>4058219</v>
      </c>
      <c r="H8" s="67">
        <f>D8+'rekst - sjóðstr - efnah - B-hlu'!D8+'rekst - sjóðstr - efnah - mill '!D8</f>
        <v>0</v>
      </c>
      <c r="I8" s="119">
        <f>G8+H8</f>
        <v>4058219</v>
      </c>
    </row>
    <row r="9" spans="2:9" ht="12.75">
      <c r="B9" s="35" t="s">
        <v>503</v>
      </c>
      <c r="C9" s="118">
        <f>'rekst - sjóðstr - efnah - A-hlu'!C9</f>
        <v>1011844</v>
      </c>
      <c r="D9" s="67">
        <f>'rekst - sjóðstr - efnah - A-hlu'!D9</f>
        <v>0</v>
      </c>
      <c r="E9" s="119">
        <f>C9+D9</f>
        <v>1011844</v>
      </c>
      <c r="G9" s="118">
        <f>'rekst - sjóðstr - efnah - B-hlu'!C9+'rekst - sjóðstr - efnah - mill '!C9+'rekst - sjóðstr - efnah - A-B h'!C9</f>
        <v>1011844</v>
      </c>
      <c r="H9" s="67">
        <f>D9+'rekst - sjóðstr - efnah - B-hlu'!D9+'rekst - sjóðstr - efnah - mill '!D9</f>
        <v>0</v>
      </c>
      <c r="I9" s="119">
        <f>G9+H9</f>
        <v>1011844</v>
      </c>
    </row>
    <row r="10" spans="2:9" ht="12.75">
      <c r="B10" s="35" t="s">
        <v>504</v>
      </c>
      <c r="C10" s="118">
        <f>'rekst - sjóðstr - efnah - A-hlu'!C10</f>
        <v>561825</v>
      </c>
      <c r="D10" s="67">
        <f>'rekst - sjóðstr - efnah - A-hlu'!D10</f>
        <v>90740.316</v>
      </c>
      <c r="E10" s="119">
        <f>C10+D10</f>
        <v>652565.316</v>
      </c>
      <c r="G10" s="118">
        <f>'rekst - sjóðstr - efnah - B-hlu'!C10+'rekst - sjóðstr - efnah - mill '!C10+'rekst - sjóðstr - efnah - A-B h'!C10</f>
        <v>1352938</v>
      </c>
      <c r="H10" s="67">
        <f>D10+'rekst - sjóðstr - efnah - B-hlu'!D10+'rekst - sjóðstr - efnah - mill '!D10</f>
        <v>90740.316</v>
      </c>
      <c r="I10" s="119">
        <f>G10+H10</f>
        <v>1443678.316</v>
      </c>
    </row>
    <row r="11" spans="2:9" ht="12.75">
      <c r="B11" s="38"/>
      <c r="C11" s="120">
        <f>SUM(C8:C10)</f>
        <v>5641077</v>
      </c>
      <c r="D11" s="40">
        <f>SUM(D8:D10)</f>
        <v>90740.316</v>
      </c>
      <c r="E11" s="120">
        <f>SUM(E8:E10)</f>
        <v>5731817.316</v>
      </c>
      <c r="G11" s="120">
        <f>SUM(G8:G10)</f>
        <v>6423001</v>
      </c>
      <c r="H11" s="40">
        <f>SUM(H8:H10)</f>
        <v>90740.316</v>
      </c>
      <c r="I11" s="120">
        <f>SUM(I8:I10)</f>
        <v>6513741.316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f>'rekst - sjóðstr - efnah - A-hlu'!C14</f>
        <v>3464901</v>
      </c>
      <c r="D14" s="67">
        <f>'rekst - sjóðstr - efnah - A-hlu'!D14</f>
        <v>23170</v>
      </c>
      <c r="E14" s="119">
        <f>C14+D14</f>
        <v>3488071</v>
      </c>
      <c r="G14" s="118">
        <f>'rekst - sjóðstr - efnah - B-hlu'!C14+'rekst - sjóðstr - efnah - mill '!C14+'rekst - sjóðstr - efnah - A-B h'!C14</f>
        <v>4111891</v>
      </c>
      <c r="H14" s="67">
        <f>D14+'rekst - sjóðstr - efnah - B-hlu'!D14+'rekst - sjóðstr - efnah - mill '!D14</f>
        <v>23170</v>
      </c>
      <c r="I14" s="119">
        <f>G14+H14</f>
        <v>4135061</v>
      </c>
    </row>
    <row r="15" spans="2:9" ht="12.75">
      <c r="B15" s="35" t="s">
        <v>507</v>
      </c>
      <c r="C15" s="118">
        <f>'rekst - sjóðstr - efnah - A-hlu'!C15</f>
        <v>1558032</v>
      </c>
      <c r="D15" s="67">
        <f>'rekst - sjóðstr - efnah - A-hlu'!D15</f>
        <v>71564.316</v>
      </c>
      <c r="E15" s="119">
        <f>C15+D15</f>
        <v>1629596.316</v>
      </c>
      <c r="G15" s="118">
        <f>'rekst - sjóðstr - efnah - B-hlu'!C15+'rekst - sjóðstr - efnah - mill '!C15+'rekst - sjóðstr - efnah - A-B h'!C15</f>
        <v>1662658</v>
      </c>
      <c r="H15" s="67">
        <f>D15+'rekst - sjóðstr - efnah - B-hlu'!D15+'rekst - sjóðstr - efnah - mill '!D15</f>
        <v>71564.316</v>
      </c>
      <c r="I15" s="119">
        <f>G15+H15</f>
        <v>1734222.316</v>
      </c>
    </row>
    <row r="16" spans="2:9" ht="12.75">
      <c r="B16" s="35" t="s">
        <v>508</v>
      </c>
      <c r="C16" s="118">
        <f>'rekst - sjóðstr - efnah - A-hlu'!C16</f>
        <v>307093</v>
      </c>
      <c r="D16" s="67">
        <f>'rekst - sjóðstr - efnah - A-hlu'!D16</f>
        <v>0</v>
      </c>
      <c r="E16" s="119">
        <f>C16+D16</f>
        <v>307093</v>
      </c>
      <c r="G16" s="118">
        <f>'rekst - sjóðstr - efnah - B-hlu'!C16+'rekst - sjóðstr - efnah - mill '!C16+'rekst - sjóðstr - efnah - A-B h'!C16</f>
        <v>308670</v>
      </c>
      <c r="H16" s="67">
        <f>D16+'rekst - sjóðstr - efnah - B-hlu'!D16+'rekst - sjóðstr - efnah - mill '!D16</f>
        <v>0</v>
      </c>
      <c r="I16" s="119">
        <f>G16+H16</f>
        <v>308670</v>
      </c>
    </row>
    <row r="17" spans="2:9" ht="12.75">
      <c r="B17" s="38"/>
      <c r="C17" s="120">
        <f>SUM(C14:C16)</f>
        <v>5330026</v>
      </c>
      <c r="D17" s="40">
        <f>SUM(D14:D16)</f>
        <v>94734.316</v>
      </c>
      <c r="E17" s="120">
        <f>SUM(E14:E16)</f>
        <v>5424760.316</v>
      </c>
      <c r="G17" s="120">
        <f>SUM(G14:G16)</f>
        <v>6083219</v>
      </c>
      <c r="H17" s="40">
        <f>SUM(H14:H16)</f>
        <v>94734.316</v>
      </c>
      <c r="I17" s="120">
        <f>SUM(I14:I16)</f>
        <v>6177953.316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0.05514035706302183</v>
      </c>
      <c r="D19" s="71">
        <f>(D11-D17)/D11</f>
        <v>-0.0440157162335648</v>
      </c>
      <c r="E19" s="68">
        <f>(E11-E17)/E11</f>
        <v>0.053570618718581646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f>'rekst - sjóðstr - efnah - A-hlu'!C20</f>
        <v>161485</v>
      </c>
      <c r="D20" s="67">
        <f>'rekst - sjóðstr - efnah - A-hlu'!D20</f>
        <v>13409.052</v>
      </c>
      <c r="E20" s="119">
        <f>C20+D20</f>
        <v>174894.052</v>
      </c>
      <c r="G20" s="118">
        <f>'rekst - sjóðstr - efnah - B-hlu'!C20+'rekst - sjóðstr - efnah - mill '!C20+'rekst - sjóðstr - efnah - A-B h'!C20</f>
        <v>187282</v>
      </c>
      <c r="H20" s="67">
        <f>D20+'rekst - sjóðstr - efnah - B-hlu'!D20+'rekst - sjóðstr - efnah - mill '!D20</f>
        <v>13409.052</v>
      </c>
      <c r="I20" s="119">
        <f>G20+H20</f>
        <v>200691.052</v>
      </c>
    </row>
    <row r="21" spans="2:9" ht="12.75">
      <c r="B21" s="35" t="s">
        <v>511</v>
      </c>
      <c r="C21" s="120">
        <f>C11-C17-C20</f>
        <v>149566</v>
      </c>
      <c r="D21" s="40">
        <f>D11-D17-D20</f>
        <v>-17403.052</v>
      </c>
      <c r="E21" s="120">
        <f>E11-E17-E20</f>
        <v>132162.948</v>
      </c>
      <c r="G21" s="120">
        <f>G11-G17-G20</f>
        <v>152500</v>
      </c>
      <c r="H21" s="40">
        <f>H11-H17-H20</f>
        <v>-17403.052</v>
      </c>
      <c r="I21" s="120">
        <f>I11-I17-I20</f>
        <v>135096.948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f>'rekst - sjóðstr - efnah - A-hlu'!C24</f>
        <v>29832</v>
      </c>
      <c r="D24" s="40">
        <f>'rekst - sjóðstr - efnah - A-hlu'!D24</f>
        <v>33730.051999999996</v>
      </c>
      <c r="E24" s="120">
        <f>C24+D24</f>
        <v>63562.051999999996</v>
      </c>
      <c r="G24" s="120">
        <f>'rekst - sjóðstr - efnah - B-hlu'!C24+'rekst - sjóðstr - efnah - mill '!C24+'rekst - sjóðstr - efnah - A-B h'!C24</f>
        <v>12325</v>
      </c>
      <c r="H24" s="40">
        <f>D24+'rekst - sjóðstr - efnah - B-hlu'!D24+'rekst - sjóðstr - efnah - mill '!D24</f>
        <v>33730.051999999996</v>
      </c>
      <c r="I24" s="120">
        <f>G24+H24</f>
        <v>46055.051999999996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179398</v>
      </c>
      <c r="D26" s="44">
        <f>D21+D24</f>
        <v>16326.999999999996</v>
      </c>
      <c r="E26" s="118">
        <f>E21+E24</f>
        <v>195725</v>
      </c>
      <c r="G26" s="118">
        <f>G21+G24</f>
        <v>164825</v>
      </c>
      <c r="H26" s="44">
        <f>H21+H24</f>
        <v>16326.999999999996</v>
      </c>
      <c r="I26" s="118">
        <f>I21+I24</f>
        <v>181152</v>
      </c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179398</v>
      </c>
      <c r="D30" s="44">
        <f>D26+D29</f>
        <v>16326.999999999996</v>
      </c>
      <c r="E30" s="118">
        <f>E26+E29</f>
        <v>195725</v>
      </c>
      <c r="G30" s="118">
        <f>G26+G29</f>
        <v>164825</v>
      </c>
      <c r="H30" s="44">
        <f>H26+H29</f>
        <v>16326.999999999996</v>
      </c>
      <c r="I30" s="118">
        <f>I26+I29</f>
        <v>181152</v>
      </c>
    </row>
    <row r="31" spans="2:9" ht="12.75">
      <c r="B31" s="35" t="s">
        <v>517</v>
      </c>
      <c r="C31" s="121">
        <v>0</v>
      </c>
      <c r="D31" s="48">
        <f>'rekst - sjóðstr - efnah - A-hlu'!D31</f>
        <v>-16327</v>
      </c>
      <c r="E31" s="121">
        <f>C31+D31</f>
        <v>-16327</v>
      </c>
      <c r="G31" s="121">
        <v>0</v>
      </c>
      <c r="H31" s="48">
        <f>D31+'rekst - sjóðstr - efnah - B-hlu'!D31+'rekst - sjóðstr - efnah - mill '!D31</f>
        <v>-16327</v>
      </c>
      <c r="I31" s="121">
        <f>G31+H31</f>
        <v>-16327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179398</v>
      </c>
      <c r="D33" s="124">
        <f>SUM(D30:D32)</f>
        <v>0</v>
      </c>
      <c r="E33" s="123">
        <f>SUM(E30:E32)</f>
        <v>179398</v>
      </c>
      <c r="G33" s="123">
        <f>SUM(G30:G32)</f>
        <v>164825</v>
      </c>
      <c r="H33" s="124">
        <f>SUM(H30:H32)</f>
        <v>0</v>
      </c>
      <c r="I33" s="123">
        <f>SUM(I30:I32)</f>
        <v>164825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14</v>
      </c>
      <c r="D42" s="29" t="s">
        <v>14</v>
      </c>
      <c r="E42" s="28" t="s">
        <v>14</v>
      </c>
      <c r="G42" s="28" t="s">
        <v>498</v>
      </c>
      <c r="H42" s="29" t="s">
        <v>498</v>
      </c>
      <c r="I42" s="28" t="s">
        <v>498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1596</v>
      </c>
      <c r="I43" s="116" t="s">
        <v>501</v>
      </c>
    </row>
    <row r="44" spans="2:9" ht="12.75">
      <c r="B44" s="33" t="s">
        <v>521</v>
      </c>
      <c r="C44" s="55"/>
      <c r="E44" s="114"/>
      <c r="G44" s="55"/>
      <c r="H44" s="1"/>
      <c r="I44" s="114"/>
    </row>
    <row r="45" spans="2:9" ht="12.75">
      <c r="B45" s="35" t="s">
        <v>522</v>
      </c>
      <c r="C45" s="118">
        <f>C33</f>
        <v>179398</v>
      </c>
      <c r="D45" s="44">
        <f>D33</f>
        <v>0</v>
      </c>
      <c r="E45" s="118">
        <f>E33</f>
        <v>179398</v>
      </c>
      <c r="G45" s="118">
        <f>G33</f>
        <v>164825</v>
      </c>
      <c r="H45" s="44">
        <f>D45+'rekst - sjóðstr - efnah - B-hlu'!D45+'rekst - sjóðstr - efnah - mill '!D45</f>
        <v>0</v>
      </c>
      <c r="I45" s="118">
        <f>I33</f>
        <v>164825</v>
      </c>
    </row>
    <row r="46" spans="2:9" ht="12.75">
      <c r="B46" s="35" t="s">
        <v>523</v>
      </c>
      <c r="C46" s="118">
        <f>C20</f>
        <v>161485</v>
      </c>
      <c r="D46" s="44">
        <f>D20</f>
        <v>13409.052</v>
      </c>
      <c r="E46" s="118">
        <f>E20</f>
        <v>174894.052</v>
      </c>
      <c r="G46" s="118">
        <f>G20</f>
        <v>187282</v>
      </c>
      <c r="H46" s="44">
        <f>D46+'rekst - sjóðstr - efnah - B-hlu'!D46+'rekst - sjóðstr - efnah - mill '!D46</f>
        <v>13409.052</v>
      </c>
      <c r="I46" s="118">
        <f>I20</f>
        <v>200691.052</v>
      </c>
    </row>
    <row r="47" spans="2:9" ht="12.75">
      <c r="B47" s="35" t="s">
        <v>524</v>
      </c>
      <c r="C47" s="118">
        <f>'rekst - sjóðstr - efnah - A-hlu'!C47</f>
        <v>18288</v>
      </c>
      <c r="D47" s="67">
        <f>'rekst - sjóðstr - efnah - A-hlu'!D47</f>
        <v>0</v>
      </c>
      <c r="E47" s="125">
        <f>C47+D47</f>
        <v>18288</v>
      </c>
      <c r="G47" s="118">
        <f>'rekst - sjóðstr - efnah - B-hlu'!C47+'rekst - sjóðstr - efnah - mill '!C45+'rekst - sjóðstr - efnah - A-B h'!C47</f>
        <v>28288</v>
      </c>
      <c r="H47" s="44">
        <f>D47+'rekst - sjóðstr - efnah - B-hlu'!D47+'rekst - sjóðstr - efnah - mill '!D47</f>
        <v>0</v>
      </c>
      <c r="I47" s="125">
        <f>G47+H47</f>
        <v>28288</v>
      </c>
    </row>
    <row r="48" spans="2:9" ht="12.75">
      <c r="B48" s="35" t="s">
        <v>525</v>
      </c>
      <c r="C48" s="118">
        <f>'rekst - sjóðstr - efnah - A-hlu'!C48</f>
        <v>0</v>
      </c>
      <c r="D48" s="67">
        <f>'rekst - sjóðstr - efnah - A-hlu'!D48</f>
        <v>0</v>
      </c>
      <c r="E48" s="125">
        <f>C48+D48</f>
        <v>0</v>
      </c>
      <c r="G48" s="118">
        <f>'rekst - sjóðstr - efnah - B-hlu'!C48+'rekst - sjóðstr - efnah - mill '!C46+'rekst - sjóðstr - efnah - A-B h'!C48</f>
        <v>0</v>
      </c>
      <c r="H48" s="44">
        <f>D48+'rekst - sjóðstr - efnah - B-hlu'!D48+'rekst - sjóðstr - efnah - mill '!D48</f>
        <v>0</v>
      </c>
      <c r="I48" s="125">
        <f>G48+H48</f>
        <v>0</v>
      </c>
    </row>
    <row r="49" spans="2:9" ht="12.75">
      <c r="B49" s="35" t="s">
        <v>526</v>
      </c>
      <c r="C49" s="118">
        <f>'rekst - sjóðstr - efnah - A-hlu'!C49</f>
        <v>0</v>
      </c>
      <c r="D49" s="67">
        <f>'rekst - sjóðstr - efnah - A-hlu'!D49</f>
        <v>0</v>
      </c>
      <c r="E49" s="125">
        <f>C49+D49</f>
        <v>0</v>
      </c>
      <c r="G49" s="118">
        <f>'rekst - sjóðstr - efnah - B-hlu'!C49+'rekst - sjóðstr - efnah - mill '!C47+'rekst - sjóðstr - efnah - A-B h'!C49</f>
        <v>0</v>
      </c>
      <c r="H49" s="44">
        <f>D49+'rekst - sjóðstr - efnah - B-hlu'!D49+'rekst - sjóðstr - efnah - mill '!D49</f>
        <v>0</v>
      </c>
      <c r="I49" s="125">
        <f>G49+H49</f>
        <v>0</v>
      </c>
    </row>
    <row r="50" spans="2:9" ht="12.75">
      <c r="B50" s="35" t="s">
        <v>527</v>
      </c>
      <c r="C50" s="118">
        <f>'rekst - sjóðstr - efnah - A-hlu'!C50</f>
        <v>305294</v>
      </c>
      <c r="D50" s="67">
        <f>'rekst - sjóðstr - efnah - A-hlu'!D50</f>
        <v>0</v>
      </c>
      <c r="E50" s="125">
        <f>C50+D50</f>
        <v>305294</v>
      </c>
      <c r="G50" s="118">
        <f>'rekst - sjóðstr - efnah - B-hlu'!C50+'rekst - sjóðstr - efnah - mill '!C50+'rekst - sjóðstr - efnah - A-B h'!C50</f>
        <v>306871</v>
      </c>
      <c r="H50" s="44">
        <f>D50+'rekst - sjóðstr - efnah - B-hlu'!D50+'rekst - sjóðstr - efnah - mill '!D50</f>
        <v>0</v>
      </c>
      <c r="I50" s="125">
        <f>G50+H50</f>
        <v>306871</v>
      </c>
    </row>
    <row r="51" spans="2:9" ht="12.75">
      <c r="B51" s="35" t="s">
        <v>528</v>
      </c>
      <c r="C51" s="118">
        <f>'rekst - sjóðstr - efnah - A-hlu'!C51</f>
        <v>0</v>
      </c>
      <c r="D51" s="67">
        <f>'rekst - sjóðstr - efnah - A-hlu'!D51</f>
        <v>0</v>
      </c>
      <c r="E51" s="125">
        <f>C51+D51</f>
        <v>0</v>
      </c>
      <c r="G51" s="118">
        <f>'rekst - sjóðstr - efnah - B-hlu'!C51+'rekst - sjóðstr - efnah - mill '!C51+'rekst - sjóðstr - efnah - A-B h'!C51</f>
        <v>0</v>
      </c>
      <c r="H51" s="44">
        <f>D51+'rekst - sjóðstr - efnah - B-hlu'!D51+'rekst - sjóðstr - efnah - mill '!D51</f>
        <v>0</v>
      </c>
      <c r="I51" s="125">
        <f>G51+H51</f>
        <v>0</v>
      </c>
    </row>
    <row r="52" spans="2:9" ht="12.75">
      <c r="B52" s="57" t="s">
        <v>529</v>
      </c>
      <c r="C52" s="120">
        <f>SUM(C45:C51)</f>
        <v>664465</v>
      </c>
      <c r="D52" s="40">
        <f>SUM(D45:D51)</f>
        <v>13409.052</v>
      </c>
      <c r="E52" s="120">
        <f>SUM(E45:E51)</f>
        <v>677874.052</v>
      </c>
      <c r="G52" s="120">
        <f>SUM(G45:G51)</f>
        <v>687266</v>
      </c>
      <c r="H52" s="40">
        <f>SUM(H45:H51)</f>
        <v>13409.052</v>
      </c>
      <c r="I52" s="120">
        <f>SUM(I45:I51)</f>
        <v>700675.052</v>
      </c>
    </row>
    <row r="53" spans="2:9" ht="12.75">
      <c r="B53" s="58" t="s">
        <v>530</v>
      </c>
      <c r="C53" s="118"/>
      <c r="D53" s="1"/>
      <c r="E53" s="114"/>
      <c r="G53" s="118"/>
      <c r="H53" s="1"/>
      <c r="I53" s="114"/>
    </row>
    <row r="54" spans="2:9" ht="12.75">
      <c r="B54" s="35" t="s">
        <v>531</v>
      </c>
      <c r="C54" s="118">
        <f>'rekst - sjóðstr - efnah - A-hlu'!C54</f>
        <v>-29</v>
      </c>
      <c r="D54" s="67">
        <f>'rekst - sjóðstr - efnah - A-hlu'!D54</f>
        <v>0</v>
      </c>
      <c r="E54" s="125">
        <f>C54+D54</f>
        <v>-29</v>
      </c>
      <c r="G54" s="118">
        <f>'rekst - sjóðstr - efnah - B-hlu'!C54+'rekst - sjóðstr - efnah - mill '!C54+'rekst - sjóðstr - efnah - A-B h'!C54</f>
        <v>-29</v>
      </c>
      <c r="H54" s="67">
        <f>D54+'rekst - sjóðstr - efnah - B-hlu'!D54+'rekst - sjóðstr - efnah - mill '!D54</f>
        <v>0</v>
      </c>
      <c r="I54" s="125">
        <f>G54+H54</f>
        <v>-29</v>
      </c>
    </row>
    <row r="55" spans="2:9" ht="12.75">
      <c r="B55" s="35" t="s">
        <v>532</v>
      </c>
      <c r="C55" s="118">
        <f>'rekst - sjóðstr - efnah - A-hlu'!C55</f>
        <v>-18445</v>
      </c>
      <c r="D55" s="67">
        <f>'rekst - sjóðstr - efnah - A-hlu'!D55</f>
        <v>0</v>
      </c>
      <c r="E55" s="125">
        <f>C55+D55</f>
        <v>-18445</v>
      </c>
      <c r="G55" s="118">
        <f>'rekst - sjóðstr - efnah - B-hlu'!C55+'rekst - sjóðstr - efnah - mill '!C55+'rekst - sjóðstr - efnah - A-B h'!C55</f>
        <v>-18445</v>
      </c>
      <c r="H55" s="67">
        <f>D55+'rekst - sjóðstr - efnah - B-hlu'!D55+'rekst - sjóðstr - efnah - mill '!D55</f>
        <v>0</v>
      </c>
      <c r="I55" s="125">
        <f>G55+H55</f>
        <v>-18445</v>
      </c>
    </row>
    <row r="56" spans="2:9" ht="12.75">
      <c r="B56" s="35" t="s">
        <v>533</v>
      </c>
      <c r="C56" s="118">
        <f>'rekst - sjóðstr - efnah - A-hlu'!C56</f>
        <v>-2310</v>
      </c>
      <c r="D56" s="67">
        <f>'rekst - sjóðstr - efnah - A-hlu'!D56</f>
        <v>0</v>
      </c>
      <c r="E56" s="125">
        <f>C56+D56</f>
        <v>-2310</v>
      </c>
      <c r="G56" s="118">
        <f>'rekst - sjóðstr - efnah - B-hlu'!C56+'rekst - sjóðstr - efnah - mill '!C56+'rekst - sjóðstr - efnah - A-B h'!C56</f>
        <v>-2700</v>
      </c>
      <c r="H56" s="67">
        <f>D56+'rekst - sjóðstr - efnah - B-hlu'!D56+'rekst - sjóðstr - efnah - mill '!D56</f>
        <v>0</v>
      </c>
      <c r="I56" s="125">
        <f>G56+H56</f>
        <v>-2700</v>
      </c>
    </row>
    <row r="57" spans="2:9" ht="12.75">
      <c r="B57" s="35" t="s">
        <v>534</v>
      </c>
      <c r="C57" s="118">
        <f>'rekst - sjóðstr - efnah - A-hlu'!C57</f>
        <v>14346</v>
      </c>
      <c r="D57" s="67">
        <f>'rekst - sjóðstr - efnah - A-hlu'!D57</f>
        <v>0</v>
      </c>
      <c r="E57" s="125">
        <f>C57+D57</f>
        <v>14346</v>
      </c>
      <c r="G57" s="118">
        <f>'rekst - sjóðstr - efnah - B-hlu'!C57+'rekst - sjóðstr - efnah - mill '!C57+'rekst - sjóðstr - efnah - A-B h'!C57</f>
        <v>17166</v>
      </c>
      <c r="H57" s="67">
        <f>D57+'rekst - sjóðstr - efnah - B-hlu'!D57+'rekst - sjóðstr - efnah - mill '!D57</f>
        <v>0</v>
      </c>
      <c r="I57" s="125">
        <f>G57+H57</f>
        <v>17166</v>
      </c>
    </row>
    <row r="58" spans="2:9" ht="12.75">
      <c r="B58" s="35" t="s">
        <v>535</v>
      </c>
      <c r="C58" s="121">
        <f>'rekst - sjóðstr - efnah - A-hlu'!C58</f>
        <v>0</v>
      </c>
      <c r="D58" s="67">
        <f>'rekst - sjóðstr - efnah - A-hlu'!D58</f>
        <v>0</v>
      </c>
      <c r="E58" s="147">
        <f>C58+D58</f>
        <v>0</v>
      </c>
      <c r="G58" s="121">
        <f>'rekst - sjóðstr - efnah - B-hlu'!C58+'rekst - sjóðstr - efnah - mill '!C58+'rekst - sjóðstr - efnah - A-B h'!C58</f>
        <v>0</v>
      </c>
      <c r="H58" s="167">
        <f>D58+'rekst - sjóðstr - efnah - B-hlu'!D58+'rekst - sjóðstr - efnah - mill '!D58</f>
        <v>0</v>
      </c>
      <c r="I58" s="147">
        <f>G58+H58</f>
        <v>0</v>
      </c>
    </row>
    <row r="59" spans="2:9" ht="12.75">
      <c r="B59" s="30" t="s">
        <v>530</v>
      </c>
      <c r="C59" s="121">
        <f>SUM(C54:C58)</f>
        <v>-6438</v>
      </c>
      <c r="D59" s="48">
        <f>SUM(D54:D58)</f>
        <v>0</v>
      </c>
      <c r="E59" s="121">
        <f>SUM(E54:E58)</f>
        <v>-6438</v>
      </c>
      <c r="G59" s="121">
        <f>SUM(G54:G58)</f>
        <v>-4008</v>
      </c>
      <c r="H59" s="48">
        <f>SUM(H54:H58)</f>
        <v>0</v>
      </c>
      <c r="I59" s="121">
        <f>SUM(I54:I58)</f>
        <v>-4008</v>
      </c>
    </row>
    <row r="60" spans="2:9" ht="13.5" thickBot="1">
      <c r="B60" s="57" t="s">
        <v>536</v>
      </c>
      <c r="C60" s="123">
        <f>C52+C59</f>
        <v>658027</v>
      </c>
      <c r="D60" s="124">
        <f>D52+D59</f>
        <v>13409.052</v>
      </c>
      <c r="E60" s="123">
        <f>E52+E59</f>
        <v>671436.052</v>
      </c>
      <c r="G60" s="123">
        <f>G52+G59</f>
        <v>683258</v>
      </c>
      <c r="H60" s="124">
        <f>H52+H59</f>
        <v>13409.052</v>
      </c>
      <c r="I60" s="123">
        <f>I52+I59</f>
        <v>696667.052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537</v>
      </c>
      <c r="C62" s="60"/>
      <c r="D62" s="1"/>
      <c r="E62" s="114"/>
      <c r="G62" s="60"/>
      <c r="H62" s="1"/>
      <c r="I62" s="114"/>
    </row>
    <row r="63" spans="2:9" ht="12.75">
      <c r="B63" s="35" t="s">
        <v>538</v>
      </c>
      <c r="C63" s="118">
        <f>'rekst - sjóðstr - efnah - A-hlu'!C63</f>
        <v>-567000</v>
      </c>
      <c r="D63" s="67">
        <f>'rekst - sjóðstr - efnah - A-hlu'!D63</f>
        <v>-162000</v>
      </c>
      <c r="E63" s="125">
        <f aca="true" t="shared" si="0" ref="E63:E68">C63+D63</f>
        <v>-729000</v>
      </c>
      <c r="G63" s="118">
        <f>'rekst - sjóðstr - efnah - B-hlu'!C63+'rekst - sjóðstr - efnah - mill '!C63+'rekst - sjóðstr - efnah - A-B h'!C63</f>
        <v>-567000</v>
      </c>
      <c r="H63" s="67">
        <f>D63+'rekst - sjóðstr - efnah - B-hlu'!D63+'rekst - sjóðstr - efnah - mill '!D63</f>
        <v>-162000</v>
      </c>
      <c r="I63" s="125">
        <f aca="true" t="shared" si="1" ref="I63:I68">G63+H63</f>
        <v>-729000</v>
      </c>
    </row>
    <row r="64" spans="2:9" ht="12.75" outlineLevel="1">
      <c r="B64" s="35" t="s">
        <v>539</v>
      </c>
      <c r="C64" s="118">
        <f>'rekst - sjóðstr - efnah - A-hlu'!C64</f>
        <v>0</v>
      </c>
      <c r="D64" s="67">
        <f>'rekst - sjóðstr - efnah - A-hlu'!D64</f>
        <v>0</v>
      </c>
      <c r="E64" s="125">
        <f t="shared" si="0"/>
        <v>0</v>
      </c>
      <c r="G64" s="118">
        <f>'rekst - sjóðstr - efnah - B-hlu'!C64+'rekst - sjóðstr - efnah - mill '!C64+'rekst - sjóðstr - efnah - A-B h'!C64</f>
        <v>0</v>
      </c>
      <c r="H64" s="67">
        <f>D64+'rekst - sjóðstr - efnah - B-hlu'!D64+'rekst - sjóðstr - efnah - mill '!D64</f>
        <v>0</v>
      </c>
      <c r="I64" s="125">
        <f t="shared" si="1"/>
        <v>0</v>
      </c>
    </row>
    <row r="65" spans="2:9" ht="12.75" outlineLevel="1">
      <c r="B65" s="35" t="s">
        <v>540</v>
      </c>
      <c r="C65" s="118">
        <f>'rekst - sjóðstr - efnah - A-hlu'!C65</f>
        <v>0</v>
      </c>
      <c r="D65" s="67">
        <f>'rekst - sjóðstr - efnah - A-hlu'!D65</f>
        <v>0</v>
      </c>
      <c r="E65" s="125">
        <f t="shared" si="0"/>
        <v>0</v>
      </c>
      <c r="G65" s="118">
        <f>'rekst - sjóðstr - efnah - B-hlu'!C65+'rekst - sjóðstr - efnah - mill '!C65+'rekst - sjóðstr - efnah - A-B h'!C65</f>
        <v>0</v>
      </c>
      <c r="H65" s="67">
        <f>D65+'rekst - sjóðstr - efnah - B-hlu'!D65+'rekst - sjóðstr - efnah - mill '!D65</f>
        <v>0</v>
      </c>
      <c r="I65" s="125">
        <f t="shared" si="1"/>
        <v>0</v>
      </c>
    </row>
    <row r="66" spans="2:9" ht="12.75">
      <c r="B66" s="35" t="s">
        <v>541</v>
      </c>
      <c r="C66" s="118">
        <f>'rekst - sjóðstr - efnah - A-hlu'!C66</f>
        <v>56240</v>
      </c>
      <c r="D66" s="67">
        <f>'rekst - sjóðstr - efnah - A-hlu'!D66</f>
        <v>0</v>
      </c>
      <c r="E66" s="125">
        <f t="shared" si="0"/>
        <v>56240</v>
      </c>
      <c r="G66" s="118">
        <f>'rekst - sjóðstr - efnah - B-hlu'!C66+'rekst - sjóðstr - efnah - mill '!C66+'rekst - sjóðstr - efnah - A-B h'!C66</f>
        <v>56240</v>
      </c>
      <c r="H66" s="67">
        <f>D66+'rekst - sjóðstr - efnah - B-hlu'!D66+'rekst - sjóðstr - efnah - mill '!D66</f>
        <v>0</v>
      </c>
      <c r="I66" s="125">
        <f t="shared" si="1"/>
        <v>56240</v>
      </c>
    </row>
    <row r="67" spans="2:9" ht="12.75" outlineLevel="1">
      <c r="B67" s="35" t="s">
        <v>542</v>
      </c>
      <c r="C67" s="118">
        <f>'rekst - sjóðstr - efnah - A-hlu'!C67</f>
        <v>0</v>
      </c>
      <c r="D67" s="67">
        <f>'rekst - sjóðstr - efnah - A-hlu'!D67</f>
        <v>0</v>
      </c>
      <c r="E67" s="125">
        <f t="shared" si="0"/>
        <v>0</v>
      </c>
      <c r="G67" s="118">
        <f>'rekst - sjóðstr - efnah - B-hlu'!C67+'rekst - sjóðstr - efnah - mill '!C67+'rekst - sjóðstr - efnah - A-B h'!C67</f>
        <v>0</v>
      </c>
      <c r="H67" s="67">
        <f>D67+'rekst - sjóðstr - efnah - B-hlu'!D67+'rekst - sjóðstr - efnah - mill '!D67</f>
        <v>0</v>
      </c>
      <c r="I67" s="125">
        <f t="shared" si="1"/>
        <v>0</v>
      </c>
    </row>
    <row r="68" spans="2:9" ht="12.75" outlineLevel="1">
      <c r="B68" s="35" t="s">
        <v>528</v>
      </c>
      <c r="C68" s="118">
        <f>'rekst - sjóðstr - efnah - A-hlu'!C68</f>
        <v>0</v>
      </c>
      <c r="D68" s="67">
        <f>'rekst - sjóðstr - efnah - A-hlu'!D68</f>
        <v>0</v>
      </c>
      <c r="E68" s="125">
        <f t="shared" si="0"/>
        <v>0</v>
      </c>
      <c r="G68" s="118">
        <f>'rekst - sjóðstr - efnah - B-hlu'!C68+'rekst - sjóðstr - efnah - mill '!C68+'rekst - sjóðstr - efnah - A-B h'!C68</f>
        <v>0</v>
      </c>
      <c r="H68" s="67">
        <f>D68+'rekst - sjóðstr - efnah - B-hlu'!D68+'rekst - sjóðstr - efnah - mill '!D68</f>
        <v>0</v>
      </c>
      <c r="I68" s="125">
        <f t="shared" si="1"/>
        <v>0</v>
      </c>
    </row>
    <row r="69" spans="2:9" ht="12.75">
      <c r="B69" s="30" t="s">
        <v>537</v>
      </c>
      <c r="C69" s="120">
        <f>SUM(C63:C68)</f>
        <v>-510760</v>
      </c>
      <c r="D69" s="40">
        <f>SUM(D63:D68)</f>
        <v>-162000</v>
      </c>
      <c r="E69" s="120">
        <f>SUM(E63:E68)</f>
        <v>-672760</v>
      </c>
      <c r="G69" s="120">
        <f>SUM(G63:G68)</f>
        <v>-510760</v>
      </c>
      <c r="H69" s="40">
        <f>SUM(H63:H68)</f>
        <v>-162000</v>
      </c>
      <c r="I69" s="120">
        <f>SUM(I63:I68)</f>
        <v>-672760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543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544</v>
      </c>
      <c r="C72" s="118">
        <f>'rekst - sjóðstr - efnah - A-hlu'!C72</f>
        <v>0</v>
      </c>
      <c r="D72" s="67">
        <f>'rekst - sjóðstr - efnah - A-hlu'!D72</f>
        <v>0</v>
      </c>
      <c r="E72" s="125">
        <f>C72+D72</f>
        <v>0</v>
      </c>
      <c r="G72" s="118">
        <f>'rekst - sjóðstr - efnah - B-hlu'!C72+'rekst - sjóðstr - efnah - mill '!C72+'rekst - sjóðstr - efnah - A-B h'!C72</f>
        <v>0</v>
      </c>
      <c r="H72" s="67">
        <f>D72+'rekst - sjóðstr - efnah - B-hlu'!D72+'rekst - sjóðstr - efnah - mill '!D72</f>
        <v>0</v>
      </c>
      <c r="I72" s="125">
        <f>G72+H72</f>
        <v>0</v>
      </c>
    </row>
    <row r="73" spans="2:9" ht="12.75" outlineLevel="1">
      <c r="B73" s="35" t="s">
        <v>545</v>
      </c>
      <c r="C73" s="118">
        <f>'rekst - sjóðstr - efnah - A-hlu'!C73</f>
        <v>2579</v>
      </c>
      <c r="D73" s="67">
        <f>'rekst - sjóðstr - efnah - A-hlu'!D73</f>
        <v>0</v>
      </c>
      <c r="E73" s="125">
        <f aca="true" t="shared" si="2" ref="E73:E81">C73+D73</f>
        <v>2579</v>
      </c>
      <c r="G73" s="118">
        <f>'rekst - sjóðstr - efnah - B-hlu'!C73+'rekst - sjóðstr - efnah - mill '!C73+'rekst - sjóðstr - efnah - A-B h'!C73</f>
        <v>541</v>
      </c>
      <c r="H73" s="67">
        <f>D73+'rekst - sjóðstr - efnah - B-hlu'!D73+'rekst - sjóðstr - efnah - mill '!D73</f>
        <v>0</v>
      </c>
      <c r="I73" s="125">
        <f aca="true" t="shared" si="3" ref="I73:I81">G73+H73</f>
        <v>541</v>
      </c>
    </row>
    <row r="74" spans="2:9" ht="12.75" outlineLevel="1">
      <c r="B74" s="35" t="s">
        <v>546</v>
      </c>
      <c r="C74" s="118">
        <f>'rekst - sjóðstr - efnah - A-hlu'!C74</f>
        <v>0</v>
      </c>
      <c r="D74" s="67">
        <f>'rekst - sjóðstr - efnah - A-hlu'!D74</f>
        <v>0</v>
      </c>
      <c r="E74" s="125">
        <f t="shared" si="2"/>
        <v>0</v>
      </c>
      <c r="G74" s="118">
        <f>'rekst - sjóðstr - efnah - B-hlu'!C74+'rekst - sjóðstr - efnah - mill '!C74+'rekst - sjóðstr - efnah - A-B h'!C74</f>
        <v>0</v>
      </c>
      <c r="H74" s="67">
        <f>D74+'rekst - sjóðstr - efnah - B-hlu'!D74+'rekst - sjóðstr - efnah - mill '!D74</f>
        <v>0</v>
      </c>
      <c r="I74" s="125">
        <f t="shared" si="3"/>
        <v>0</v>
      </c>
    </row>
    <row r="75" spans="2:9" ht="12.75" outlineLevel="1">
      <c r="B75" s="35" t="s">
        <v>954</v>
      </c>
      <c r="C75" s="118">
        <f>'rekst - sjóðstr - efnah - A-hlu'!C75</f>
        <v>-88835</v>
      </c>
      <c r="D75" s="67">
        <f>'rekst - sjóðstr - efnah - A-hlu'!D75</f>
        <v>0</v>
      </c>
      <c r="E75" s="125">
        <f t="shared" si="2"/>
        <v>-88835</v>
      </c>
      <c r="G75" s="118">
        <f>'rekst - sjóðstr - efnah - B-hlu'!C75+'rekst - sjóðstr - efnah - mill '!C75+'rekst - sjóðstr - efnah - A-B h'!C75</f>
        <v>-88835</v>
      </c>
      <c r="H75" s="67">
        <f>D75+'rekst - sjóðstr - efnah - B-hlu'!D75+'rekst - sjóðstr - efnah - mill '!D75</f>
        <v>0</v>
      </c>
      <c r="I75" s="125">
        <f t="shared" si="3"/>
        <v>-88835</v>
      </c>
    </row>
    <row r="76" spans="2:9" ht="409.5" outlineLevel="1">
      <c r="B76" s="35" t="s">
        <v>955</v>
      </c>
      <c r="C76" s="118">
        <f>'rekst - sjóðstr - efnah - A-hlu'!C76</f>
        <v>-74081</v>
      </c>
      <c r="D76" s="67">
        <f>'rekst - sjóðstr - efnah - A-hlu'!D76</f>
        <v>0</v>
      </c>
      <c r="E76" s="125">
        <f t="shared" si="2"/>
        <v>-74081</v>
      </c>
      <c r="G76" s="118">
        <f>'rekst - sjóðstr - efnah - B-hlu'!C76+'rekst - sjóðstr - efnah - mill '!C76+'rekst - sjóðstr - efnah - A-B h'!C76</f>
        <v>-74081</v>
      </c>
      <c r="H76" s="67">
        <f>D76+'rekst - sjóðstr - efnah - B-hlu'!D76+'rekst - sjóðstr - efnah - mill '!D76</f>
        <v>0</v>
      </c>
      <c r="I76" s="125">
        <f t="shared" si="3"/>
        <v>-74081</v>
      </c>
    </row>
    <row r="77" spans="2:9" ht="409.5">
      <c r="B77" s="35" t="s">
        <v>547</v>
      </c>
      <c r="C77" s="118">
        <f>'rekst - sjóðstr - efnah - A-hlu'!C77</f>
        <v>-268400</v>
      </c>
      <c r="D77" s="67">
        <f>'rekst - sjóðstr - efnah - A-hlu'!D77</f>
        <v>0</v>
      </c>
      <c r="E77" s="125">
        <f t="shared" si="2"/>
        <v>-268400</v>
      </c>
      <c r="G77" s="118">
        <f>'rekst - sjóðstr - efnah - B-hlu'!C77+'rekst - sjóðstr - efnah - mill '!C77+'rekst - sjóðstr - efnah - A-B h'!C77</f>
        <v>-285028</v>
      </c>
      <c r="H77" s="67">
        <f>D77+'rekst - sjóðstr - efnah - B-hlu'!D77+'rekst - sjóðstr - efnah - mill '!D77</f>
        <v>0</v>
      </c>
      <c r="I77" s="125">
        <f t="shared" si="3"/>
        <v>-285028</v>
      </c>
    </row>
    <row r="78" spans="2:9" ht="409.5">
      <c r="B78" s="35" t="s">
        <v>548</v>
      </c>
      <c r="C78" s="118">
        <f>'rekst - sjóðstr - efnah - A-hlu'!C78</f>
        <v>0</v>
      </c>
      <c r="D78" s="67">
        <f>'rekst - sjóðstr - efnah - A-hlu'!D78</f>
        <v>0</v>
      </c>
      <c r="E78" s="125">
        <f t="shared" si="2"/>
        <v>0</v>
      </c>
      <c r="G78" s="118">
        <f>'rekst - sjóðstr - efnah - B-hlu'!C78+'rekst - sjóðstr - efnah - mill '!C78+'rekst - sjóðstr - efnah - A-B h'!C78</f>
        <v>0</v>
      </c>
      <c r="H78" s="67">
        <f>D78+'rekst - sjóðstr - efnah - B-hlu'!D78+'rekst - sjóðstr - efnah - mill '!D78</f>
        <v>0</v>
      </c>
      <c r="I78" s="125">
        <f t="shared" si="3"/>
        <v>0</v>
      </c>
    </row>
    <row r="79" spans="2:9" ht="409.5">
      <c r="B79" s="35" t="s">
        <v>549</v>
      </c>
      <c r="C79" s="118">
        <f>'rekst - sjóðstr - efnah - A-hlu'!C79</f>
        <v>0</v>
      </c>
      <c r="D79" s="67">
        <f>'rekst - sjóðstr - efnah - A-hlu'!D79</f>
        <v>0</v>
      </c>
      <c r="E79" s="125">
        <f t="shared" si="2"/>
        <v>0</v>
      </c>
      <c r="G79" s="118">
        <f>'rekst - sjóðstr - efnah - B-hlu'!C79+'rekst - sjóðstr - efnah - mill '!C79+'rekst - sjóðstr - efnah - A-B h'!C79</f>
        <v>0</v>
      </c>
      <c r="H79" s="67">
        <f>D79+'rekst - sjóðstr - efnah - B-hlu'!D79+'rekst - sjóðstr - efnah - mill '!D79</f>
        <v>0</v>
      </c>
      <c r="I79" s="125">
        <f t="shared" si="3"/>
        <v>0</v>
      </c>
    </row>
    <row r="80" spans="2:9" ht="409.5">
      <c r="B80" s="35" t="s">
        <v>550</v>
      </c>
      <c r="C80" s="118">
        <f>'rekst - sjóðstr - efnah - A-hlu'!C80</f>
        <v>0</v>
      </c>
      <c r="D80" s="67">
        <f>'rekst - sjóðstr - efnah - A-hlu'!D80</f>
        <v>0</v>
      </c>
      <c r="E80" s="125">
        <f t="shared" si="2"/>
        <v>0</v>
      </c>
      <c r="G80" s="118">
        <f>'rekst - sjóðstr - efnah - B-hlu'!C80+'rekst - sjóðstr - efnah - mill '!C80+'rekst - sjóðstr - efnah - A-B h'!C80</f>
        <v>0</v>
      </c>
      <c r="H80" s="67">
        <f>D80+'rekst - sjóðstr - efnah - B-hlu'!D80+'rekst - sjóðstr - efnah - mill '!D80</f>
        <v>0</v>
      </c>
      <c r="I80" s="125">
        <f t="shared" si="3"/>
        <v>0</v>
      </c>
    </row>
    <row r="81" spans="2:9" ht="409.5">
      <c r="B81" s="35" t="s">
        <v>528</v>
      </c>
      <c r="C81" s="118">
        <f>'rekst - sjóðstr - efnah - A-hlu'!C81</f>
        <v>0</v>
      </c>
      <c r="D81" s="67">
        <f>'rekst - sjóðstr - efnah - A-hlu'!D81</f>
        <v>0</v>
      </c>
      <c r="E81" s="125">
        <f t="shared" si="2"/>
        <v>0</v>
      </c>
      <c r="G81" s="118">
        <f>'rekst - sjóðstr - efnah - B-hlu'!C81+'rekst - sjóðstr - efnah - mill '!C81+'rekst - sjóðstr - efnah - A-B h'!C81</f>
        <v>0</v>
      </c>
      <c r="H81" s="67">
        <f>D81+'rekst - sjóðstr - efnah - B-hlu'!D81+'rekst - sjóðstr - efnah - mill '!D81</f>
        <v>0</v>
      </c>
      <c r="I81" s="125">
        <f t="shared" si="3"/>
        <v>0</v>
      </c>
    </row>
    <row r="82" spans="2:9" ht="409.5">
      <c r="B82" s="30" t="s">
        <v>543</v>
      </c>
      <c r="C82" s="120">
        <f>SUM(C72:C81)</f>
        <v>-428737</v>
      </c>
      <c r="D82" s="40">
        <f>SUM(D72:D81)</f>
        <v>0</v>
      </c>
      <c r="E82" s="120">
        <f>SUM(E72:E81)</f>
        <v>-428737</v>
      </c>
      <c r="G82" s="120">
        <f>SUM(G72:G81)</f>
        <v>-447403</v>
      </c>
      <c r="H82" s="40">
        <f>SUM(H72:H81)</f>
        <v>0</v>
      </c>
      <c r="I82" s="120">
        <f>SUM(I72:I81)</f>
        <v>-447403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-281470</v>
      </c>
      <c r="D84" s="44">
        <f>D60+D69+D82</f>
        <v>-148590.948</v>
      </c>
      <c r="E84" s="118">
        <f>E60+E69+E82</f>
        <v>-430060.948</v>
      </c>
      <c r="G84" s="118">
        <f>G60+G69+G82</f>
        <v>-274905</v>
      </c>
      <c r="H84" s="44">
        <f>H60+H69+H82</f>
        <v>-148590.948</v>
      </c>
      <c r="I84" s="118">
        <f>I60+I69+I82</f>
        <v>-423495.948</v>
      </c>
    </row>
    <row r="85" spans="2:9" ht="409.5">
      <c r="B85" s="43" t="s">
        <v>552</v>
      </c>
      <c r="C85" s="121">
        <f>'rekst - sjóðstr - efnah - A-hlu'!C85</f>
        <v>697515</v>
      </c>
      <c r="D85" s="48">
        <f>'rekst - sjóðstr - efnah - A-hlu'!D85</f>
        <v>0</v>
      </c>
      <c r="E85" s="121">
        <f>C85+D85</f>
        <v>697515</v>
      </c>
      <c r="G85" s="121">
        <f>'rekst - sjóðstr - efnah - B-hlu'!C85+'rekst - sjóðstr - efnah - mill '!C85+'rekst - sjóðstr - efnah - A-B h'!C85</f>
        <v>802017</v>
      </c>
      <c r="H85" s="48">
        <f>D85+'rekst - sjóðstr - efnah - B-hlu'!D85+'rekst - sjóðstr - efnah - mill '!D85</f>
        <v>0</v>
      </c>
      <c r="I85" s="121">
        <f>G85+H85</f>
        <v>802017</v>
      </c>
    </row>
    <row r="86" spans="2:9" ht="13.5" thickBot="1">
      <c r="B86" s="43" t="s">
        <v>553</v>
      </c>
      <c r="C86" s="123">
        <f>SUM(C84:C85)</f>
        <v>416045</v>
      </c>
      <c r="D86" s="124">
        <f>SUM(D84:D85)</f>
        <v>-148590.948</v>
      </c>
      <c r="E86" s="123">
        <f>SUM(E84:E85)</f>
        <v>267454.052</v>
      </c>
      <c r="G86" s="123">
        <f>SUM(G84:G85)</f>
        <v>527112</v>
      </c>
      <c r="H86" s="124">
        <f>SUM(H84:H85)</f>
        <v>-148590.948</v>
      </c>
      <c r="I86" s="123">
        <f>SUM(I84:I85)</f>
        <v>378521.052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14</v>
      </c>
      <c r="D92" s="29" t="s">
        <v>14</v>
      </c>
      <c r="E92" s="28" t="s">
        <v>14</v>
      </c>
      <c r="G92" s="28" t="s">
        <v>498</v>
      </c>
      <c r="H92" s="29" t="s">
        <v>498</v>
      </c>
      <c r="I92" s="28" t="s">
        <v>498</v>
      </c>
      <c r="J92" s="157" t="s">
        <v>670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1596</v>
      </c>
      <c r="I93" s="116" t="s">
        <v>501</v>
      </c>
      <c r="J93" s="158" t="s">
        <v>500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f>'rekst - sjóðstr - efnah - A-hlu'!C96</f>
        <v>4081681</v>
      </c>
      <c r="D96" s="67">
        <f>'rekst - sjóðstr - efnah - A-hlu'!D96</f>
        <v>148590.948</v>
      </c>
      <c r="E96" s="125">
        <f>C96+D96</f>
        <v>4230271.948</v>
      </c>
      <c r="G96" s="118">
        <f>'rekst - sjóðstr - efnah - B-hlu'!C96+'rekst - sjóðstr - efnah - mill '!C96+'rekst - sjóðstr - efnah - A-B h'!C96</f>
        <v>4592587</v>
      </c>
      <c r="H96" s="67">
        <f>D96+'rekst - sjóðstr - efnah - B-hlu'!D96+'rekst - sjóðstr - efnah - mill '!D96</f>
        <v>148590.948</v>
      </c>
      <c r="I96" s="125">
        <f>G96+H96</f>
        <v>4741177.948</v>
      </c>
      <c r="J96" s="159">
        <v>0</v>
      </c>
    </row>
    <row r="97" spans="2:10" ht="409.5">
      <c r="B97" s="35" t="s">
        <v>559</v>
      </c>
      <c r="C97" s="118">
        <f>'rekst - sjóðstr - efnah - A-hlu'!C97</f>
        <v>735913</v>
      </c>
      <c r="D97" s="67">
        <f>'rekst - sjóðstr - efnah - A-hlu'!D97</f>
        <v>0</v>
      </c>
      <c r="E97" s="125">
        <f>C97+D97</f>
        <v>735913</v>
      </c>
      <c r="G97" s="118">
        <f>'rekst - sjóðstr - efnah - B-hlu'!C97+'rekst - sjóðstr - efnah - mill '!C97+'rekst - sjóðstr - efnah - A-B h'!C97</f>
        <v>735913</v>
      </c>
      <c r="H97" s="67">
        <f>D97+'rekst - sjóðstr - efnah - B-hlu'!D97+'rekst - sjóðstr - efnah - mill '!D97</f>
        <v>0</v>
      </c>
      <c r="I97" s="125">
        <f>G97+H97</f>
        <v>735913</v>
      </c>
      <c r="J97" s="159">
        <v>0</v>
      </c>
    </row>
    <row r="98" spans="2:10" ht="409.5">
      <c r="B98" s="35" t="s">
        <v>560</v>
      </c>
      <c r="C98" s="118">
        <f>'rekst - sjóðstr - efnah - A-hlu'!C98</f>
        <v>79735</v>
      </c>
      <c r="D98" s="67">
        <f>'rekst - sjóðstr - efnah - A-hlu'!D98</f>
        <v>0</v>
      </c>
      <c r="E98" s="125">
        <f>C98+D98</f>
        <v>79735</v>
      </c>
      <c r="G98" s="118">
        <f>'rekst - sjóðstr - efnah - B-hlu'!C98+'rekst - sjóðstr - efnah - mill '!C98+'rekst - sjóðstr - efnah - A-B h'!C98</f>
        <v>106758</v>
      </c>
      <c r="H98" s="67">
        <f>D98+'rekst - sjóðstr - efnah - B-hlu'!D98+'rekst - sjóðstr - efnah - mill '!D98</f>
        <v>0</v>
      </c>
      <c r="I98" s="125">
        <f>G98+H98</f>
        <v>106758</v>
      </c>
      <c r="J98" s="159">
        <v>0</v>
      </c>
    </row>
    <row r="99" spans="2:10" ht="409.5">
      <c r="B99" s="35" t="s">
        <v>561</v>
      </c>
      <c r="C99" s="118">
        <f>'rekst - sjóðstr - efnah - A-hlu'!C99</f>
        <v>0</v>
      </c>
      <c r="D99" s="67">
        <f>'rekst - sjóðstr - efnah - A-hlu'!D99</f>
        <v>0</v>
      </c>
      <c r="E99" s="125">
        <f>C99+D99</f>
        <v>0</v>
      </c>
      <c r="G99" s="118">
        <f>'rekst - sjóðstr - efnah - B-hlu'!C99+'rekst - sjóðstr - efnah - mill '!C99+'rekst - sjóðstr - efnah - A-B h'!C99</f>
        <v>0</v>
      </c>
      <c r="H99" s="67">
        <f>D99+'rekst - sjóðstr - efnah - B-hlu'!D99+'rekst - sjóðstr - efnah - mill '!D99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4897329</v>
      </c>
      <c r="D100" s="40">
        <f>SUM(D96:D99)</f>
        <v>148590.948</v>
      </c>
      <c r="E100" s="120">
        <f>SUM(E96:E99)</f>
        <v>5045919.948</v>
      </c>
      <c r="G100" s="120">
        <f>SUM(G96:G99)</f>
        <v>5435258</v>
      </c>
      <c r="H100" s="40">
        <f>SUM(H96:H99)</f>
        <v>148590.948</v>
      </c>
      <c r="I100" s="120">
        <f>SUM(I96:I99)</f>
        <v>5583848.948</v>
      </c>
      <c r="J100" s="160">
        <f>SUM(J96:J99)</f>
        <v>0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f>'rekst - sjóðstr - efnah - A-hlu'!C102</f>
        <v>5277634</v>
      </c>
      <c r="D102" s="67">
        <f>'rekst - sjóðstr - efnah - A-hlu'!D102</f>
        <v>0</v>
      </c>
      <c r="E102" s="125">
        <f aca="true" t="shared" si="4" ref="E102:E107">C102+D102</f>
        <v>5277634</v>
      </c>
      <c r="G102" s="118">
        <f>'rekst - sjóðstr - efnah - B-hlu'!C102+'rekst - sjóðstr - efnah - mill '!C102+'rekst - sjóðstr - efnah - A-B h'!C102</f>
        <v>5277634</v>
      </c>
      <c r="H102" s="67">
        <f>D102+'rekst - sjóðstr - efnah - B-hlu'!D102+'rekst - sjóðstr - efnah - mill '!D102</f>
        <v>0</v>
      </c>
      <c r="I102" s="125">
        <f aca="true" t="shared" si="5" ref="I102:I107">G102+H102</f>
        <v>5277634</v>
      </c>
      <c r="J102" s="159">
        <v>0</v>
      </c>
    </row>
    <row r="103" spans="2:10" ht="409.5">
      <c r="B103" s="35" t="s">
        <v>564</v>
      </c>
      <c r="C103" s="118">
        <f>'rekst - sjóðstr - efnah - A-hlu'!C103</f>
        <v>0</v>
      </c>
      <c r="D103" s="67">
        <f>'rekst - sjóðstr - efnah - A-hlu'!D103</f>
        <v>0</v>
      </c>
      <c r="E103" s="125">
        <f t="shared" si="4"/>
        <v>0</v>
      </c>
      <c r="G103" s="118">
        <f>'rekst - sjóðstr - efnah - B-hlu'!C103+'rekst - sjóðstr - efnah - mill '!C103+'rekst - sjóðstr - efnah - A-B h'!C103</f>
        <v>0</v>
      </c>
      <c r="H103" s="67">
        <f>D103+'rekst - sjóðstr - efnah - B-hlu'!D103+'rekst - sjóðstr - efnah - mill '!D103</f>
        <v>0</v>
      </c>
      <c r="I103" s="125">
        <f t="shared" si="5"/>
        <v>0</v>
      </c>
      <c r="J103" s="159">
        <v>0</v>
      </c>
    </row>
    <row r="104" spans="2:10" ht="409.5">
      <c r="B104" s="35" t="s">
        <v>565</v>
      </c>
      <c r="C104" s="118">
        <f>'rekst - sjóðstr - efnah - A-hlu'!C104</f>
        <v>0</v>
      </c>
      <c r="D104" s="67">
        <f>'rekst - sjóðstr - efnah - A-hlu'!D104</f>
        <v>0</v>
      </c>
      <c r="E104" s="125">
        <f t="shared" si="4"/>
        <v>0</v>
      </c>
      <c r="G104" s="118">
        <f>'rekst - sjóðstr - efnah - B-hlu'!C104+'rekst - sjóðstr - efnah - mill '!C104+'rekst - sjóðstr - efnah - A-B h'!C104</f>
        <v>0</v>
      </c>
      <c r="H104" s="67">
        <f>D104+'rekst - sjóðstr - efnah - B-hlu'!D104+'rekst - sjóðstr - efnah - mill '!D104</f>
        <v>0</v>
      </c>
      <c r="I104" s="125">
        <f t="shared" si="5"/>
        <v>0</v>
      </c>
      <c r="J104" s="159">
        <v>0</v>
      </c>
    </row>
    <row r="105" spans="2:10" ht="409.5">
      <c r="B105" s="35" t="s">
        <v>566</v>
      </c>
      <c r="C105" s="118">
        <f>'rekst - sjóðstr - efnah - A-hlu'!C105</f>
        <v>740859</v>
      </c>
      <c r="D105" s="67">
        <f>'rekst - sjóðstr - efnah - A-hlu'!D105</f>
        <v>0</v>
      </c>
      <c r="E105" s="125">
        <f t="shared" si="4"/>
        <v>740859</v>
      </c>
      <c r="G105" s="118">
        <f>'rekst - sjóðstr - efnah - B-hlu'!C105+'rekst - sjóðstr - efnah - mill '!C105+'rekst - sjóðstr - efnah - A-B h'!C105</f>
        <v>740859</v>
      </c>
      <c r="H105" s="67">
        <f>D105+'rekst - sjóðstr - efnah - B-hlu'!D105+'rekst - sjóðstr - efnah - mill '!D105</f>
        <v>0</v>
      </c>
      <c r="I105" s="125">
        <f t="shared" si="5"/>
        <v>740859</v>
      </c>
      <c r="J105" s="159">
        <v>0</v>
      </c>
    </row>
    <row r="106" spans="2:10" ht="409.5">
      <c r="B106" s="35" t="s">
        <v>567</v>
      </c>
      <c r="C106" s="118">
        <f>'rekst - sjóðstr - efnah - A-hlu'!C106</f>
        <v>0</v>
      </c>
      <c r="D106" s="67">
        <f>'rekst - sjóðstr - efnah - A-hlu'!D106</f>
        <v>0</v>
      </c>
      <c r="E106" s="125">
        <f t="shared" si="4"/>
        <v>0</v>
      </c>
      <c r="G106" s="118">
        <f>'rekst - sjóðstr - efnah - B-hlu'!C106+'rekst - sjóðstr - efnah - mill '!C106+'rekst - sjóðstr - efnah - A-B h'!C106</f>
        <v>0</v>
      </c>
      <c r="H106" s="67">
        <f>D106+'rekst - sjóðstr - efnah - B-hlu'!D106+'rekst - sjóðstr - efnah - mill '!D106</f>
        <v>0</v>
      </c>
      <c r="I106" s="125">
        <f t="shared" si="5"/>
        <v>0</v>
      </c>
      <c r="J106" s="159">
        <v>0</v>
      </c>
    </row>
    <row r="107" spans="2:10" ht="409.5">
      <c r="B107" s="35" t="s">
        <v>568</v>
      </c>
      <c r="C107" s="118">
        <f>'rekst - sjóðstr - efnah - A-hlu'!C107</f>
        <v>0</v>
      </c>
      <c r="D107" s="67">
        <f>'rekst - sjóðstr - efnah - A-hlu'!D107</f>
        <v>0</v>
      </c>
      <c r="E107" s="125">
        <f t="shared" si="4"/>
        <v>0</v>
      </c>
      <c r="G107" s="118">
        <f>'rekst - sjóðstr - efnah - B-hlu'!C107+'rekst - sjóðstr - efnah - mill '!C107+'rekst - sjóðstr - efnah - A-B h'!C107</f>
        <v>0</v>
      </c>
      <c r="H107" s="67">
        <f>D107+'rekst - sjóðstr - efnah - B-hlu'!D107+'rekst - sjóðstr - efnah - mill '!D107</f>
        <v>0</v>
      </c>
      <c r="I107" s="125">
        <f t="shared" si="5"/>
        <v>0</v>
      </c>
      <c r="J107" s="159">
        <v>0</v>
      </c>
    </row>
    <row r="108" spans="2:10" ht="409.5">
      <c r="B108" s="35"/>
      <c r="C108" s="120">
        <f>SUM(C102:C107)</f>
        <v>6018493</v>
      </c>
      <c r="D108" s="40">
        <f>SUM(D102:D107)</f>
        <v>0</v>
      </c>
      <c r="E108" s="120">
        <f>SUM(E102:E107)</f>
        <v>6018493</v>
      </c>
      <c r="G108" s="120">
        <f>SUM(G102:G107)</f>
        <v>6018493</v>
      </c>
      <c r="H108" s="40">
        <f>SUM(H102:H107)</f>
        <v>0</v>
      </c>
      <c r="I108" s="120">
        <f>SUM(I102:I107)</f>
        <v>6018493</v>
      </c>
      <c r="J108" s="160">
        <f>SUM(J102:J107)</f>
        <v>0</v>
      </c>
    </row>
    <row r="109" spans="2:10" ht="409.5">
      <c r="B109" s="30" t="s">
        <v>556</v>
      </c>
      <c r="C109" s="120">
        <f>C100+C108</f>
        <v>10915822</v>
      </c>
      <c r="D109" s="40">
        <f>D100+D108</f>
        <v>148590.948</v>
      </c>
      <c r="E109" s="120">
        <f>E100+E108</f>
        <v>11064412.947999999</v>
      </c>
      <c r="G109" s="120">
        <f>G100+G108</f>
        <v>11453751</v>
      </c>
      <c r="H109" s="40">
        <f>H100+H108</f>
        <v>148590.948</v>
      </c>
      <c r="I109" s="120">
        <f>I100+I108</f>
        <v>11602341.947999999</v>
      </c>
      <c r="J109" s="160">
        <f>J100+J108</f>
        <v>0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f>'rekst - sjóðstr - efnah - A-hlu'!C111</f>
        <v>1263</v>
      </c>
      <c r="D111" s="67">
        <f>'rekst - sjóðstr - efnah - A-hlu'!D111</f>
        <v>0</v>
      </c>
      <c r="E111" s="125">
        <f>C111+D111</f>
        <v>1263</v>
      </c>
      <c r="G111" s="118">
        <f>'rekst - sjóðstr - efnah - B-hlu'!C111+'rekst - sjóðstr - efnah - mill '!C111+'rekst - sjóðstr - efnah - A-B h'!C111</f>
        <v>1263</v>
      </c>
      <c r="H111" s="67">
        <f>D111+'rekst - sjóðstr - efnah - B-hlu'!D111+'rekst - sjóðstr - efnah - mill '!D111</f>
        <v>0</v>
      </c>
      <c r="I111" s="125">
        <f>G111+H111</f>
        <v>1263</v>
      </c>
      <c r="J111" s="159">
        <v>0</v>
      </c>
    </row>
    <row r="112" spans="2:10" ht="409.5">
      <c r="B112" s="35" t="s">
        <v>571</v>
      </c>
      <c r="C112" s="118">
        <f>'rekst - sjóðstr - efnah - A-hlu'!C112</f>
        <v>463066</v>
      </c>
      <c r="D112" s="67">
        <f>'rekst - sjóðstr - efnah - A-hlu'!D112</f>
        <v>0</v>
      </c>
      <c r="E112" s="125">
        <f aca="true" t="shared" si="6" ref="E112:E118">C112+D112</f>
        <v>463066</v>
      </c>
      <c r="G112" s="118">
        <f>'rekst - sjóðstr - efnah - B-hlu'!C112+'rekst - sjóðstr - efnah - mill '!C112+'rekst - sjóðstr - efnah - A-B h'!C112</f>
        <v>471615</v>
      </c>
      <c r="H112" s="67">
        <f>D112+'rekst - sjóðstr - efnah - B-hlu'!D112+'rekst - sjóðstr - efnah - mill '!D112</f>
        <v>0</v>
      </c>
      <c r="I112" s="125">
        <f aca="true" t="shared" si="7" ref="I112:I118">G112+H112</f>
        <v>471615</v>
      </c>
      <c r="J112" s="159">
        <v>0</v>
      </c>
    </row>
    <row r="113" spans="2:10" ht="409.5">
      <c r="B113" s="35" t="s">
        <v>572</v>
      </c>
      <c r="C113" s="118">
        <f>'rekst - sjóðstr - efnah - A-hlu'!C113</f>
        <v>1238</v>
      </c>
      <c r="D113" s="67">
        <f>'rekst - sjóðstr - efnah - A-hlu'!D113</f>
        <v>90433</v>
      </c>
      <c r="E113" s="125">
        <f t="shared" si="6"/>
        <v>91671</v>
      </c>
      <c r="G113" s="118">
        <f>'rekst - sjóðstr - efnah - B-hlu'!C113+'rekst - sjóðstr - efnah - mill '!C113+'rekst - sjóðstr - efnah - A-B h'!C113</f>
        <v>0</v>
      </c>
      <c r="H113" s="67">
        <f>D113+'rekst - sjóðstr - efnah - B-hlu'!D113+'rekst - sjóðstr - efnah - mill '!D113</f>
        <v>90433</v>
      </c>
      <c r="I113" s="125">
        <f t="shared" si="7"/>
        <v>90433</v>
      </c>
      <c r="J113" s="159">
        <v>0</v>
      </c>
    </row>
    <row r="114" spans="2:10" ht="409.5">
      <c r="B114" s="35" t="s">
        <v>573</v>
      </c>
      <c r="C114" s="118">
        <f>'rekst - sjóðstr - efnah - A-hlu'!C114</f>
        <v>74491</v>
      </c>
      <c r="D114" s="67">
        <f>'rekst - sjóðstr - efnah - A-hlu'!D114</f>
        <v>0</v>
      </c>
      <c r="E114" s="125">
        <f t="shared" si="6"/>
        <v>74491</v>
      </c>
      <c r="G114" s="118">
        <f>'rekst - sjóðstr - efnah - B-hlu'!C114+'rekst - sjóðstr - efnah - mill '!C114+'rekst - sjóðstr - efnah - A-B h'!C114</f>
        <v>79332</v>
      </c>
      <c r="H114" s="67">
        <f>D114+'rekst - sjóðstr - efnah - B-hlu'!D114+'rekst - sjóðstr - efnah - mill '!D114</f>
        <v>0</v>
      </c>
      <c r="I114" s="125">
        <f t="shared" si="7"/>
        <v>79332</v>
      </c>
      <c r="J114" s="159">
        <v>0</v>
      </c>
    </row>
    <row r="115" spans="2:10" ht="409.5">
      <c r="B115" s="35" t="s">
        <v>574</v>
      </c>
      <c r="C115" s="118">
        <f>'rekst - sjóðstr - efnah - A-hlu'!C115</f>
        <v>70585</v>
      </c>
      <c r="D115" s="67">
        <f>'rekst - sjóðstr - efnah - A-hlu'!D115</f>
        <v>0</v>
      </c>
      <c r="E115" s="125">
        <f t="shared" si="6"/>
        <v>70585</v>
      </c>
      <c r="G115" s="118">
        <f>'rekst - sjóðstr - efnah - B-hlu'!C115+'rekst - sjóðstr - efnah - mill '!C115+'rekst - sjóðstr - efnah - A-B h'!C115</f>
        <v>70585</v>
      </c>
      <c r="H115" s="67">
        <f>D115+'rekst - sjóðstr - efnah - B-hlu'!D115+'rekst - sjóðstr - efnah - mill '!D115</f>
        <v>0</v>
      </c>
      <c r="I115" s="125">
        <f t="shared" si="7"/>
        <v>70585</v>
      </c>
      <c r="J115" s="159">
        <v>0</v>
      </c>
    </row>
    <row r="116" spans="2:10" ht="409.5">
      <c r="B116" s="35" t="s">
        <v>575</v>
      </c>
      <c r="C116" s="118">
        <f>'rekst - sjóðstr - efnah - A-hlu'!C116</f>
        <v>0</v>
      </c>
      <c r="D116" s="67">
        <f>'rekst - sjóðstr - efnah - A-hlu'!D116</f>
        <v>0</v>
      </c>
      <c r="E116" s="125">
        <f t="shared" si="6"/>
        <v>0</v>
      </c>
      <c r="G116" s="118">
        <f>'rekst - sjóðstr - efnah - B-hlu'!C116+'rekst - sjóðstr - efnah - mill '!C116+'rekst - sjóðstr - efnah - A-B h'!C116</f>
        <v>0</v>
      </c>
      <c r="H116" s="67">
        <f>D116+'rekst - sjóðstr - efnah - B-hlu'!D116+'rekst - sjóðstr - efnah - mill '!D116</f>
        <v>0</v>
      </c>
      <c r="I116" s="125">
        <f t="shared" si="7"/>
        <v>0</v>
      </c>
      <c r="J116" s="159">
        <v>0</v>
      </c>
    </row>
    <row r="117" spans="2:10" ht="409.5">
      <c r="B117" s="35" t="s">
        <v>576</v>
      </c>
      <c r="C117" s="118">
        <f>'rekst - sjóðstr - efnah - A-hlu'!C117</f>
        <v>0</v>
      </c>
      <c r="D117" s="67">
        <f>'rekst - sjóðstr - efnah - A-hlu'!D117</f>
        <v>0</v>
      </c>
      <c r="E117" s="125">
        <f t="shared" si="6"/>
        <v>0</v>
      </c>
      <c r="G117" s="118">
        <f>'rekst - sjóðstr - efnah - B-hlu'!C117+'rekst - sjóðstr - efnah - mill '!C117+'rekst - sjóðstr - efnah - A-B h'!C117</f>
        <v>0</v>
      </c>
      <c r="H117" s="67">
        <f>D117+'rekst - sjóðstr - efnah - B-hlu'!D117+'rekst - sjóðstr - efnah - mill '!D117</f>
        <v>0</v>
      </c>
      <c r="I117" s="125">
        <f t="shared" si="7"/>
        <v>0</v>
      </c>
      <c r="J117" s="159">
        <v>0</v>
      </c>
    </row>
    <row r="118" spans="2:10" ht="409.5">
      <c r="B118" s="35" t="s">
        <v>577</v>
      </c>
      <c r="C118" s="118">
        <f>'rekst - sjóðstr - efnah - A-hlu'!C118</f>
        <v>0</v>
      </c>
      <c r="D118" s="67">
        <f>'rekst - sjóðstr - efnah - A-hlu'!D118</f>
        <v>0</v>
      </c>
      <c r="E118" s="125">
        <f t="shared" si="6"/>
        <v>0</v>
      </c>
      <c r="G118" s="118">
        <f>'rekst - sjóðstr - efnah - B-hlu'!C118+'rekst - sjóðstr - efnah - mill '!C118+'rekst - sjóðstr - efnah - A-B h'!C118</f>
        <v>0</v>
      </c>
      <c r="H118" s="67">
        <f>D118+'rekst - sjóðstr - efnah - B-hlu'!D118+'rekst - sjóðstr - efnah - mill '!D118</f>
        <v>0</v>
      </c>
      <c r="I118" s="125">
        <f t="shared" si="7"/>
        <v>0</v>
      </c>
      <c r="J118" s="159">
        <v>0</v>
      </c>
    </row>
    <row r="119" spans="2:10" ht="409.5">
      <c r="B119" s="35" t="s">
        <v>41</v>
      </c>
      <c r="C119" s="118">
        <f>C86</f>
        <v>416045</v>
      </c>
      <c r="D119" s="67">
        <f>'rekst - sjóðstr - efnah - A-hlu'!D119</f>
        <v>-148590.94799999997</v>
      </c>
      <c r="E119" s="118">
        <f>E86</f>
        <v>267454.052</v>
      </c>
      <c r="G119" s="118">
        <f>G86</f>
        <v>527112</v>
      </c>
      <c r="H119" s="67">
        <f>D119+'rekst - sjóðstr - efnah - B-hlu'!D119+'rekst - sjóðstr - efnah - mill '!D119</f>
        <v>-148590.94799999997</v>
      </c>
      <c r="I119" s="118">
        <f>I86</f>
        <v>378521.052</v>
      </c>
      <c r="J119" s="159">
        <v>0</v>
      </c>
    </row>
    <row r="120" spans="2:10" ht="409.5">
      <c r="B120" s="30" t="s">
        <v>569</v>
      </c>
      <c r="C120" s="120">
        <f>SUM(C111:C119)</f>
        <v>1026688</v>
      </c>
      <c r="D120" s="40">
        <f>SUM(D111:D119)</f>
        <v>-58157.947999999975</v>
      </c>
      <c r="E120" s="120">
        <f>SUM(E111:E119)</f>
        <v>968530.052</v>
      </c>
      <c r="G120" s="120">
        <f>SUM(G111:G119)</f>
        <v>1149907</v>
      </c>
      <c r="H120" s="40">
        <f>SUM(H111:H119)</f>
        <v>-58157.947999999975</v>
      </c>
      <c r="I120" s="120">
        <f>SUM(I111:I119)</f>
        <v>1091749.0520000001</v>
      </c>
      <c r="J120" s="160">
        <f>SUM(J111:J119)</f>
        <v>0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11942510</v>
      </c>
      <c r="D122" s="128">
        <f>D109+D120</f>
        <v>90433.00000000003</v>
      </c>
      <c r="E122" s="127">
        <f>E109+E120</f>
        <v>12032942.999999998</v>
      </c>
      <c r="G122" s="127">
        <f>G109+G120</f>
        <v>12603658</v>
      </c>
      <c r="H122" s="128">
        <f>H109+H120</f>
        <v>90433.00000000003</v>
      </c>
      <c r="I122" s="127">
        <f>I109+I120</f>
        <v>12694091</v>
      </c>
      <c r="J122" s="161">
        <f>J109+J120</f>
        <v>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25.5">
      <c r="B130" s="66"/>
      <c r="C130" s="28" t="s">
        <v>14</v>
      </c>
      <c r="D130" s="29" t="s">
        <v>14</v>
      </c>
      <c r="E130" s="28" t="s">
        <v>14</v>
      </c>
      <c r="G130" s="28" t="s">
        <v>498</v>
      </c>
      <c r="H130" s="29" t="s">
        <v>498</v>
      </c>
      <c r="I130" s="28" t="s">
        <v>498</v>
      </c>
      <c r="J130" s="157" t="s">
        <v>670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1596</v>
      </c>
      <c r="I131" s="116" t="s">
        <v>501</v>
      </c>
      <c r="J131" s="158" t="s">
        <v>500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f>'rekst - sjóðstr - efnah - A-hlu'!C133</f>
        <v>6721172</v>
      </c>
      <c r="D133" s="67">
        <f>'rekst - sjóðstr - efnah - A-hlu'!D133</f>
        <v>-1.8189894035458565E-12</v>
      </c>
      <c r="E133" s="125">
        <f>C133+D133</f>
        <v>6721172</v>
      </c>
      <c r="G133" s="118">
        <f>'rekst - sjóðstr - efnah - B-hlu'!C133+'rekst - sjóðstr - efnah - mill '!C133+'rekst - sjóðstr - efnah - A-B h'!C133</f>
        <v>6963048</v>
      </c>
      <c r="H133" s="67">
        <f>D133+'rekst - sjóðstr - efnah - B-hlu'!D133+'rekst - sjóðstr - efnah - mill '!D133</f>
        <v>-1.8189894035458565E-12</v>
      </c>
      <c r="I133" s="125">
        <f>G133+H133</f>
        <v>6963048</v>
      </c>
      <c r="J133" s="159">
        <v>0</v>
      </c>
    </row>
    <row r="134" spans="2:10" ht="409.5">
      <c r="B134" s="35" t="s">
        <v>582</v>
      </c>
      <c r="C134" s="118">
        <f>'rekst - sjóðstr - efnah - A-hlu'!C134</f>
        <v>3100</v>
      </c>
      <c r="D134" s="67">
        <f>'rekst - sjóðstr - efnah - A-hlu'!D134</f>
        <v>0</v>
      </c>
      <c r="E134" s="125">
        <f>C134+D134</f>
        <v>3100</v>
      </c>
      <c r="G134" s="118">
        <f>'rekst - sjóðstr - efnah - B-hlu'!C134+'rekst - sjóðstr - efnah - mill '!C134+'rekst - sjóðstr - efnah - A-B h'!C134</f>
        <v>3100</v>
      </c>
      <c r="H134" s="67">
        <f>D134+'rekst - sjóðstr - efnah - B-hlu'!D134+'rekst - sjóðstr - efnah - mill '!D134</f>
        <v>0</v>
      </c>
      <c r="I134" s="125">
        <f>G134+H134</f>
        <v>3100</v>
      </c>
      <c r="J134" s="159">
        <v>0</v>
      </c>
    </row>
    <row r="135" spans="2:10" ht="409.5">
      <c r="B135" s="35" t="s">
        <v>583</v>
      </c>
      <c r="C135" s="118">
        <f>'rekst - sjóðstr - efnah - A-hlu'!C135</f>
        <v>0</v>
      </c>
      <c r="D135" s="67">
        <f>'rekst - sjóðstr - efnah - A-hlu'!D135</f>
        <v>0</v>
      </c>
      <c r="E135" s="125">
        <f>C135+D135</f>
        <v>0</v>
      </c>
      <c r="G135" s="118">
        <f>'rekst - sjóðstr - efnah - B-hlu'!C135+'rekst - sjóðstr - efnah - mill '!C135+'rekst - sjóðstr - efnah - A-B h'!C135</f>
        <v>0</v>
      </c>
      <c r="H135" s="67">
        <f>D135+'rekst - sjóðstr - efnah - B-hlu'!D135+'rekst - sjóðstr - efnah - mill '!D135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6724272</v>
      </c>
      <c r="D136" s="40">
        <f>SUM(D133:D135)</f>
        <v>-1.8189894035458565E-12</v>
      </c>
      <c r="E136" s="120">
        <f>SUM(E133:E135)</f>
        <v>6724272</v>
      </c>
      <c r="G136" s="120">
        <f>SUM(G133:G135)</f>
        <v>6966148</v>
      </c>
      <c r="H136" s="40">
        <f>SUM(H133:H135)</f>
        <v>-1.8189894035458565E-12</v>
      </c>
      <c r="I136" s="120">
        <f>SUM(I133:I135)</f>
        <v>6966148</v>
      </c>
      <c r="J136" s="160">
        <f>SUM(J133:J135)</f>
        <v>0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f>'rekst - sjóðstr - efnah - A-hlu'!C138</f>
        <v>3238297</v>
      </c>
      <c r="D138" s="67">
        <f>'rekst - sjóðstr - efnah - A-hlu'!D138</f>
        <v>0</v>
      </c>
      <c r="E138" s="125">
        <f>C138+D138</f>
        <v>3238297</v>
      </c>
      <c r="G138" s="118">
        <f>'rekst - sjóðstr - efnah - B-hlu'!C138+'rekst - sjóðstr - efnah - mill '!C138+'rekst - sjóðstr - efnah - A-B h'!C138</f>
        <v>3258830</v>
      </c>
      <c r="H138" s="67">
        <f>D138+'rekst - sjóðstr - efnah - B-hlu'!D138+'rekst - sjóðstr - efnah - mill '!D138</f>
        <v>0</v>
      </c>
      <c r="I138" s="125">
        <f>G138+H138</f>
        <v>3258830</v>
      </c>
      <c r="J138" s="159">
        <v>0</v>
      </c>
    </row>
    <row r="139" spans="2:10" ht="409.5">
      <c r="B139" s="35" t="s">
        <v>586</v>
      </c>
      <c r="C139" s="118">
        <f>'rekst - sjóðstr - efnah - A-hlu'!C139</f>
        <v>0</v>
      </c>
      <c r="D139" s="67">
        <f>'rekst - sjóðstr - efnah - A-hlu'!D139</f>
        <v>0</v>
      </c>
      <c r="E139" s="125">
        <f>C139+D139</f>
        <v>0</v>
      </c>
      <c r="G139" s="118">
        <f>'rekst - sjóðstr - efnah - B-hlu'!C139+'rekst - sjóðstr - efnah - mill '!C139+'rekst - sjóðstr - efnah - A-B h'!C139</f>
        <v>0</v>
      </c>
      <c r="H139" s="67">
        <f>D139+'rekst - sjóðstr - efnah - B-hlu'!D139+'rekst - sjóðstr - efnah - mill '!D139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3238297</v>
      </c>
      <c r="D140" s="40">
        <f>SUM(D138:D139)</f>
        <v>0</v>
      </c>
      <c r="E140" s="120">
        <f>SUM(E138:E139)</f>
        <v>3238297</v>
      </c>
      <c r="G140" s="120">
        <f>SUM(G138:G139)</f>
        <v>3258830</v>
      </c>
      <c r="H140" s="40">
        <f>SUM(H138:H139)</f>
        <v>0</v>
      </c>
      <c r="I140" s="120">
        <f>SUM(I138:I139)</f>
        <v>3258830</v>
      </c>
      <c r="J140" s="160">
        <f>SUM(J138:J139)</f>
        <v>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f>'rekst - sjóðstr - efnah - A-hlu'!C142</f>
        <v>1035273</v>
      </c>
      <c r="D142" s="67">
        <f>'rekst - sjóðstr - efnah - A-hlu'!D142</f>
        <v>0</v>
      </c>
      <c r="E142" s="125">
        <f>C142+D142</f>
        <v>1035273</v>
      </c>
      <c r="G142" s="118">
        <f>'rekst - sjóðstr - efnah - B-hlu'!C142+'rekst - sjóðstr - efnah - mill '!C142+'rekst - sjóðstr - efnah - A-B h'!C142</f>
        <v>1320564</v>
      </c>
      <c r="H142" s="67">
        <f>D142+'rekst - sjóðstr - efnah - B-hlu'!D142+'rekst - sjóðstr - efnah - mill '!D142</f>
        <v>0</v>
      </c>
      <c r="I142" s="125">
        <f>G142+H142</f>
        <v>1320564</v>
      </c>
      <c r="J142" s="159">
        <v>0</v>
      </c>
    </row>
    <row r="143" spans="2:10" ht="409.5">
      <c r="B143" s="35" t="s">
        <v>589</v>
      </c>
      <c r="C143" s="118">
        <f>'rekst - sjóðstr - efnah - A-hlu'!C143</f>
        <v>0</v>
      </c>
      <c r="D143" s="67">
        <f>'rekst - sjóðstr - efnah - A-hlu'!D143</f>
        <v>0</v>
      </c>
      <c r="E143" s="125">
        <f>C143+D143</f>
        <v>0</v>
      </c>
      <c r="G143" s="118">
        <f>'rekst - sjóðstr - efnah - B-hlu'!C143+'rekst - sjóðstr - efnah - mill '!C143+'rekst - sjóðstr - efnah - A-B h'!C143</f>
        <v>0</v>
      </c>
      <c r="H143" s="67">
        <f>D143+'rekst - sjóðstr - efnah - B-hlu'!D143+'rekst - sjóðstr - efnah - mill '!D143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f>'rekst - sjóðstr - efnah - A-hlu'!C144</f>
        <v>0</v>
      </c>
      <c r="D144" s="67">
        <f>'rekst - sjóðstr - efnah - A-hlu'!D144</f>
        <v>0</v>
      </c>
      <c r="E144" s="125">
        <f>C144+D144</f>
        <v>0</v>
      </c>
      <c r="G144" s="118">
        <f>'rekst - sjóðstr - efnah - B-hlu'!C144+'rekst - sjóðstr - efnah - mill '!C144+'rekst - sjóðstr - efnah - A-B h'!C144</f>
        <v>0</v>
      </c>
      <c r="H144" s="67">
        <f>D144+'rekst - sjóðstr - efnah - B-hlu'!D144+'rekst - sjóðstr - efnah - mill '!D144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f>'rekst - sjóðstr - efnah - A-hlu'!C145</f>
        <v>0</v>
      </c>
      <c r="D145" s="67">
        <f>'rekst - sjóðstr - efnah - A-hlu'!D145</f>
        <v>0</v>
      </c>
      <c r="E145" s="125">
        <f>C145+D145</f>
        <v>0</v>
      </c>
      <c r="G145" s="118">
        <f>'rekst - sjóðstr - efnah - B-hlu'!C145+'rekst - sjóðstr - efnah - mill '!C145+'rekst - sjóðstr - efnah - A-B h'!C145</f>
        <v>0</v>
      </c>
      <c r="H145" s="67">
        <f>D145+'rekst - sjóðstr - efnah - B-hlu'!D145+'rekst - sjóðstr - efnah - mill '!D145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1035273</v>
      </c>
      <c r="D146" s="40">
        <f>SUM(D142:D145)</f>
        <v>0</v>
      </c>
      <c r="E146" s="120">
        <f>SUM(E142:E145)</f>
        <v>1035273</v>
      </c>
      <c r="G146" s="120">
        <f>SUM(G142:G145)</f>
        <v>1320564</v>
      </c>
      <c r="H146" s="40">
        <f>SUM(H142:H145)</f>
        <v>0</v>
      </c>
      <c r="I146" s="120">
        <f>SUM(I142:I145)</f>
        <v>1320564</v>
      </c>
      <c r="J146" s="160">
        <f>SUM(J142:J145)</f>
        <v>0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f>'rekst - sjóðstr - efnah - A-hlu'!C148</f>
        <v>0</v>
      </c>
      <c r="D148" s="67">
        <f>'rekst - sjóðstr - efnah - A-hlu'!D148</f>
        <v>0</v>
      </c>
      <c r="E148" s="125">
        <f>C148+D148</f>
        <v>0</v>
      </c>
      <c r="G148" s="118">
        <f>'rekst - sjóðstr - efnah - B-hlu'!C148+'rekst - sjóðstr - efnah - mill '!C148+'rekst - sjóðstr - efnah - A-B h'!C148</f>
        <v>0</v>
      </c>
      <c r="H148" s="67">
        <f>D148+'rekst - sjóðstr - efnah - B-hlu'!D148+'rekst - sjóðstr - efnah - mill '!D148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f>'rekst - sjóðstr - efnah - A-hlu'!C149</f>
        <v>185806</v>
      </c>
      <c r="D149" s="67">
        <f>'rekst - sjóðstr - efnah - A-hlu'!D149</f>
        <v>0</v>
      </c>
      <c r="E149" s="125">
        <f aca="true" t="shared" si="8" ref="E149:E157">C149+D149</f>
        <v>185806</v>
      </c>
      <c r="G149" s="118">
        <f>'rekst - sjóðstr - efnah - B-hlu'!C149+'rekst - sjóðstr - efnah - mill '!C149+'rekst - sjóðstr - efnah - A-B h'!C149</f>
        <v>211556</v>
      </c>
      <c r="H149" s="67">
        <f>D149+'rekst - sjóðstr - efnah - B-hlu'!D149+'rekst - sjóðstr - efnah - mill '!D149</f>
        <v>0</v>
      </c>
      <c r="I149" s="125">
        <f aca="true" t="shared" si="9" ref="I149:I157">G149+H149</f>
        <v>211556</v>
      </c>
      <c r="J149" s="159">
        <v>0</v>
      </c>
    </row>
    <row r="150" spans="2:10" ht="409.5">
      <c r="B150" s="35" t="s">
        <v>590</v>
      </c>
      <c r="C150" s="118">
        <f>'rekst - sjóðstr - efnah - A-hlu'!C150</f>
        <v>0</v>
      </c>
      <c r="D150" s="67">
        <f>'rekst - sjóðstr - efnah - A-hlu'!D150</f>
        <v>90433</v>
      </c>
      <c r="E150" s="125">
        <f t="shared" si="8"/>
        <v>90433</v>
      </c>
      <c r="G150" s="118">
        <f>'rekst - sjóðstr - efnah - B-hlu'!C150+'rekst - sjóðstr - efnah - mill '!C150+'rekst - sjóðstr - efnah - A-B h'!C150</f>
        <v>0</v>
      </c>
      <c r="H150" s="67">
        <f>D150+'rekst - sjóðstr - efnah - B-hlu'!D150+'rekst - sjóðstr - efnah - mill '!D150</f>
        <v>90433</v>
      </c>
      <c r="I150" s="125">
        <f t="shared" si="9"/>
        <v>90433</v>
      </c>
      <c r="J150" s="159">
        <v>0</v>
      </c>
    </row>
    <row r="151" spans="2:10" ht="409.5">
      <c r="B151" s="35" t="s">
        <v>594</v>
      </c>
      <c r="C151" s="118">
        <f>'rekst - sjóðstr - efnah - A-hlu'!C151</f>
        <v>214370</v>
      </c>
      <c r="D151" s="67">
        <f>'rekst - sjóðstr - efnah - A-hlu'!D151</f>
        <v>0</v>
      </c>
      <c r="E151" s="125">
        <f t="shared" si="8"/>
        <v>214370</v>
      </c>
      <c r="G151" s="118">
        <f>'rekst - sjóðstr - efnah - B-hlu'!C151+'rekst - sjóðstr - efnah - mill '!C151+'rekst - sjóðstr - efnah - A-B h'!C151</f>
        <v>230998</v>
      </c>
      <c r="H151" s="67">
        <f>D151+'rekst - sjóðstr - efnah - B-hlu'!D151+'rekst - sjóðstr - efnah - mill '!D151</f>
        <v>0</v>
      </c>
      <c r="I151" s="125">
        <f t="shared" si="9"/>
        <v>230998</v>
      </c>
      <c r="J151" s="159">
        <v>0</v>
      </c>
    </row>
    <row r="152" spans="2:10" ht="409.5">
      <c r="B152" s="69" t="s">
        <v>595</v>
      </c>
      <c r="C152" s="118">
        <f>'rekst - sjóðstr - efnah - A-hlu'!C152</f>
        <v>193932</v>
      </c>
      <c r="D152" s="67">
        <f>'rekst - sjóðstr - efnah - A-hlu'!D152</f>
        <v>0</v>
      </c>
      <c r="E152" s="125">
        <f t="shared" si="8"/>
        <v>193932</v>
      </c>
      <c r="G152" s="118">
        <f>'rekst - sjóðstr - efnah - B-hlu'!C152+'rekst - sjóðstr - efnah - mill '!C152+'rekst - sjóðstr - efnah - A-B h'!C152</f>
        <v>193932</v>
      </c>
      <c r="H152" s="67">
        <f>D152+'rekst - sjóðstr - efnah - B-hlu'!D152+'rekst - sjóðstr - efnah - mill '!D152</f>
        <v>0</v>
      </c>
      <c r="I152" s="125">
        <f t="shared" si="9"/>
        <v>193932</v>
      </c>
      <c r="J152" s="159">
        <v>0</v>
      </c>
    </row>
    <row r="153" spans="2:10" ht="409.5">
      <c r="B153" s="35" t="s">
        <v>596</v>
      </c>
      <c r="C153" s="118">
        <f>'rekst - sjóðstr - efnah - A-hlu'!C153</f>
        <v>0</v>
      </c>
      <c r="D153" s="67">
        <f>'rekst - sjóðstr - efnah - A-hlu'!D153</f>
        <v>0</v>
      </c>
      <c r="E153" s="125">
        <f t="shared" si="8"/>
        <v>0</v>
      </c>
      <c r="G153" s="118">
        <f>'rekst - sjóðstr - efnah - B-hlu'!C153+'rekst - sjóðstr - efnah - mill '!C153+'rekst - sjóðstr - efnah - A-B h'!C153</f>
        <v>0</v>
      </c>
      <c r="H153" s="67">
        <f>D153+'rekst - sjóðstr - efnah - B-hlu'!D153+'rekst - sjóðstr - efnah - mill '!D153</f>
        <v>0</v>
      </c>
      <c r="I153" s="125">
        <f t="shared" si="9"/>
        <v>0</v>
      </c>
      <c r="J153" s="159">
        <v>0</v>
      </c>
    </row>
    <row r="154" spans="2:10" ht="409.5">
      <c r="B154" s="35" t="s">
        <v>597</v>
      </c>
      <c r="C154" s="118">
        <f>'rekst - sjóðstr - efnah - A-hlu'!C154</f>
        <v>0</v>
      </c>
      <c r="D154" s="67">
        <f>'rekst - sjóðstr - efnah - A-hlu'!D154</f>
        <v>0</v>
      </c>
      <c r="E154" s="125">
        <f t="shared" si="8"/>
        <v>0</v>
      </c>
      <c r="G154" s="118">
        <f>'rekst - sjóðstr - efnah - B-hlu'!C154+'rekst - sjóðstr - efnah - mill '!C154+'rekst - sjóðstr - efnah - A-B h'!C154</f>
        <v>0</v>
      </c>
      <c r="H154" s="67">
        <f>D154+'rekst - sjóðstr - efnah - B-hlu'!D154+'rekst - sjóðstr - efnah - mill '!D154</f>
        <v>0</v>
      </c>
      <c r="I154" s="125">
        <f t="shared" si="9"/>
        <v>0</v>
      </c>
      <c r="J154" s="159">
        <v>0</v>
      </c>
    </row>
    <row r="155" spans="2:10" ht="409.5">
      <c r="B155" s="35" t="s">
        <v>598</v>
      </c>
      <c r="C155" s="118">
        <f>'rekst - sjóðstr - efnah - A-hlu'!C155</f>
        <v>0</v>
      </c>
      <c r="D155" s="67">
        <f>'rekst - sjóðstr - efnah - A-hlu'!D155</f>
        <v>0</v>
      </c>
      <c r="E155" s="125">
        <f t="shared" si="8"/>
        <v>0</v>
      </c>
      <c r="G155" s="118">
        <f>'rekst - sjóðstr - efnah - B-hlu'!C155+'rekst - sjóðstr - efnah - mill '!C155+'rekst - sjóðstr - efnah - A-B h'!C155</f>
        <v>0</v>
      </c>
      <c r="H155" s="67">
        <f>D155+'rekst - sjóðstr - efnah - B-hlu'!D155+'rekst - sjóðstr - efnah - mill '!D155</f>
        <v>0</v>
      </c>
      <c r="I155" s="125">
        <f t="shared" si="9"/>
        <v>0</v>
      </c>
      <c r="J155" s="159">
        <v>0</v>
      </c>
    </row>
    <row r="156" spans="2:10" ht="409.5">
      <c r="B156" s="35" t="s">
        <v>599</v>
      </c>
      <c r="C156" s="118">
        <f>'rekst - sjóðstr - efnah - A-hlu'!C156</f>
        <v>350560</v>
      </c>
      <c r="D156" s="67">
        <f>'rekst - sjóðstr - efnah - A-hlu'!D156</f>
        <v>0</v>
      </c>
      <c r="E156" s="125">
        <f t="shared" si="8"/>
        <v>350560</v>
      </c>
      <c r="G156" s="118">
        <f>'rekst - sjóðstr - efnah - B-hlu'!C156+'rekst - sjóðstr - efnah - mill '!C156+'rekst - sjóðstr - efnah - A-B h'!C156</f>
        <v>421630</v>
      </c>
      <c r="H156" s="67">
        <f>D156+'rekst - sjóðstr - efnah - B-hlu'!D156+'rekst - sjóðstr - efnah - mill '!D156</f>
        <v>0</v>
      </c>
      <c r="I156" s="125">
        <f t="shared" si="9"/>
        <v>421630</v>
      </c>
      <c r="J156" s="159">
        <v>0</v>
      </c>
    </row>
    <row r="157" spans="2:10" ht="409.5">
      <c r="B157" s="35" t="s">
        <v>600</v>
      </c>
      <c r="C157" s="118">
        <f>'rekst - sjóðstr - efnah - A-hlu'!C157</f>
        <v>0</v>
      </c>
      <c r="D157" s="67">
        <f>'rekst - sjóðstr - efnah - A-hlu'!D157</f>
        <v>0</v>
      </c>
      <c r="E157" s="125">
        <f t="shared" si="8"/>
        <v>0</v>
      </c>
      <c r="G157" s="118">
        <f>'rekst - sjóðstr - efnah - B-hlu'!C157+'rekst - sjóðstr - efnah - mill '!C157+'rekst - sjóðstr - efnah - A-B h'!C157</f>
        <v>0</v>
      </c>
      <c r="H157" s="67">
        <f>D157+'rekst - sjóðstr - efnah - B-hlu'!D157+'rekst - sjóðstr - efnah - mill '!D157</f>
        <v>0</v>
      </c>
      <c r="I157" s="125">
        <f t="shared" si="9"/>
        <v>0</v>
      </c>
      <c r="J157" s="159">
        <v>0</v>
      </c>
    </row>
    <row r="158" spans="2:10" ht="409.5">
      <c r="B158" s="30" t="s">
        <v>592</v>
      </c>
      <c r="C158" s="120">
        <f>SUM(C148:C157)</f>
        <v>944668</v>
      </c>
      <c r="D158" s="40">
        <f>SUM(D148:D157)</f>
        <v>90433</v>
      </c>
      <c r="E158" s="120">
        <f>SUM(E148:E157)</f>
        <v>1035101</v>
      </c>
      <c r="G158" s="120">
        <f>SUM(G148:G157)</f>
        <v>1058116</v>
      </c>
      <c r="H158" s="40">
        <f>SUM(H148:H157)</f>
        <v>90433</v>
      </c>
      <c r="I158" s="120">
        <f>SUM(I148:I157)</f>
        <v>1148549</v>
      </c>
      <c r="J158" s="160">
        <f>SUM(J148:J157)</f>
        <v>0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5218238</v>
      </c>
      <c r="D160" s="40">
        <f>D140+D146+D158</f>
        <v>90433</v>
      </c>
      <c r="E160" s="120">
        <f>E140+E146+E158</f>
        <v>5308671</v>
      </c>
      <c r="G160" s="120">
        <f>G140+G146+G158</f>
        <v>5637510</v>
      </c>
      <c r="H160" s="40">
        <f>H140+H146+H158</f>
        <v>90433</v>
      </c>
      <c r="I160" s="120">
        <f>I140+I146+I158</f>
        <v>5727943</v>
      </c>
      <c r="J160" s="160">
        <f>J140+J146+J158</f>
        <v>0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11942510</v>
      </c>
      <c r="D162" s="128">
        <f>D136+D160</f>
        <v>90433</v>
      </c>
      <c r="E162" s="127">
        <f>E136+E160</f>
        <v>12032943</v>
      </c>
      <c r="G162" s="127">
        <f>G136+G160</f>
        <v>12603658</v>
      </c>
      <c r="H162" s="128">
        <f>H136+H160</f>
        <v>90433</v>
      </c>
      <c r="I162" s="127">
        <f>I136+I160</f>
        <v>12694091</v>
      </c>
      <c r="J162" s="161">
        <f>J136+J160</f>
        <v>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14" sqref="H14"/>
    </sheetView>
  </sheetViews>
  <sheetFormatPr defaultColWidth="9.140625" defaultRowHeight="12.75" outlineLevelRow="1"/>
  <cols>
    <col min="1" max="1" width="3.7109375" style="0" bestFit="1" customWidth="1"/>
    <col min="2" max="2" width="31.140625" style="0" customWidth="1"/>
    <col min="3" max="3" width="13.421875" style="0" bestFit="1" customWidth="1"/>
    <col min="4" max="4" width="14.00390625" style="0" customWidth="1"/>
    <col min="5" max="5" width="12.140625" style="0" customWidth="1"/>
    <col min="6" max="6" width="2.7109375" style="0" customWidth="1"/>
    <col min="8" max="8" width="10.140625" style="0" customWidth="1"/>
    <col min="9" max="9" width="11.421875" style="0" bestFit="1" customWidth="1"/>
  </cols>
  <sheetData>
    <row r="1" ht="15.75">
      <c r="B1" s="135"/>
    </row>
    <row r="3" spans="1:9" ht="21">
      <c r="A3" s="1"/>
      <c r="B3" s="148" t="s">
        <v>642</v>
      </c>
      <c r="C3" s="1"/>
      <c r="D3" s="126"/>
      <c r="E3" s="130" t="s">
        <v>604</v>
      </c>
      <c r="G3" s="131"/>
      <c r="H3" s="132" t="s">
        <v>447</v>
      </c>
      <c r="I3" s="131"/>
    </row>
    <row r="4" spans="2:9" ht="18.75">
      <c r="B4" s="129" t="s">
        <v>1597</v>
      </c>
      <c r="G4" s="133" t="s">
        <v>8</v>
      </c>
      <c r="H4" s="133" t="s">
        <v>605</v>
      </c>
      <c r="I4" s="133" t="s">
        <v>8</v>
      </c>
    </row>
    <row r="5" spans="2:10" ht="15.75">
      <c r="B5" s="135" t="s">
        <v>608</v>
      </c>
      <c r="E5" s="134"/>
      <c r="G5" s="133" t="s">
        <v>12</v>
      </c>
      <c r="H5" s="133" t="s">
        <v>607</v>
      </c>
      <c r="I5" s="133" t="s">
        <v>12</v>
      </c>
      <c r="J5" s="4"/>
    </row>
    <row r="6" spans="5:9" ht="15">
      <c r="E6" s="134" t="s">
        <v>606</v>
      </c>
      <c r="G6" s="133" t="s">
        <v>500</v>
      </c>
      <c r="H6" s="133" t="s">
        <v>609</v>
      </c>
      <c r="I6" s="133" t="s">
        <v>610</v>
      </c>
    </row>
    <row r="7" spans="1:9" ht="15">
      <c r="A7" s="136" t="s">
        <v>9</v>
      </c>
      <c r="B7" s="112" t="s">
        <v>10</v>
      </c>
      <c r="C7" s="137" t="s">
        <v>0</v>
      </c>
      <c r="D7" s="136" t="s">
        <v>611</v>
      </c>
      <c r="E7" s="134" t="s">
        <v>3</v>
      </c>
      <c r="H7" s="133" t="s">
        <v>1596</v>
      </c>
      <c r="I7" s="133"/>
    </row>
    <row r="8" spans="1:9" ht="15">
      <c r="A8" s="7"/>
      <c r="B8" s="131"/>
      <c r="C8" s="131"/>
      <c r="D8" s="131"/>
      <c r="E8" s="116" t="s">
        <v>643</v>
      </c>
      <c r="G8" s="149" t="s">
        <v>3</v>
      </c>
      <c r="H8" s="149" t="s">
        <v>3</v>
      </c>
      <c r="I8" s="149" t="s">
        <v>3</v>
      </c>
    </row>
    <row r="9" spans="2:9" ht="15">
      <c r="B9" s="112" t="s">
        <v>14</v>
      </c>
      <c r="E9" s="138"/>
      <c r="G9" s="150"/>
      <c r="H9" s="5"/>
      <c r="I9" s="20"/>
    </row>
    <row r="10" spans="1:9" ht="12.75">
      <c r="A10" s="96" t="s">
        <v>42</v>
      </c>
      <c r="B10" t="s">
        <v>43</v>
      </c>
      <c r="E10" s="139">
        <v>0</v>
      </c>
      <c r="G10" s="11">
        <v>0</v>
      </c>
      <c r="H10" s="10">
        <v>0</v>
      </c>
      <c r="I10" s="19">
        <v>0</v>
      </c>
    </row>
    <row r="11" spans="1:9" ht="12.75">
      <c r="A11" s="96" t="s">
        <v>44</v>
      </c>
      <c r="B11" t="s">
        <v>45</v>
      </c>
      <c r="E11" s="139">
        <f>'Sundurliðun viðauka nr.2'!N1798/1000</f>
        <v>0</v>
      </c>
      <c r="G11" s="11">
        <v>565000</v>
      </c>
      <c r="H11" s="10">
        <f>30000000/1000+E11</f>
        <v>30000</v>
      </c>
      <c r="I11" s="19">
        <f>G11+H11</f>
        <v>595000</v>
      </c>
    </row>
    <row r="12" spans="1:9" ht="12.75">
      <c r="A12" s="110" t="s">
        <v>1569</v>
      </c>
      <c r="B12" s="197" t="s">
        <v>1570</v>
      </c>
      <c r="E12" s="139">
        <f>'Sundurliðun viðauka nr.2'!O1798/1000</f>
        <v>0</v>
      </c>
      <c r="G12" s="11">
        <v>0</v>
      </c>
      <c r="H12" s="10">
        <f>116000000/1000+E12</f>
        <v>116000</v>
      </c>
      <c r="I12" s="19">
        <f>G12+H12</f>
        <v>116000</v>
      </c>
    </row>
    <row r="13" spans="1:9" ht="12.75" outlineLevel="1">
      <c r="A13" s="96" t="s">
        <v>1146</v>
      </c>
      <c r="B13" t="s">
        <v>1147</v>
      </c>
      <c r="E13" s="139">
        <f>'Sundurliðun viðauka nr.2'!P1798/1000</f>
        <v>0</v>
      </c>
      <c r="G13" s="11">
        <v>2000</v>
      </c>
      <c r="H13" s="10">
        <f>16000000/1000+E13</f>
        <v>16000</v>
      </c>
      <c r="I13" s="19">
        <f>G13+H13</f>
        <v>18000</v>
      </c>
    </row>
    <row r="14" spans="1:9" ht="12.75">
      <c r="A14" s="98"/>
      <c r="B14" s="101"/>
      <c r="C14" s="7"/>
      <c r="D14" s="7"/>
      <c r="E14" s="140"/>
      <c r="F14" s="4"/>
      <c r="G14" s="11"/>
      <c r="H14" s="10"/>
      <c r="I14" s="19"/>
    </row>
    <row r="15" spans="1:10" ht="15">
      <c r="A15" s="96"/>
      <c r="C15" s="141" t="s">
        <v>14</v>
      </c>
      <c r="D15" s="8"/>
      <c r="E15" s="142">
        <f>SUM(E10:E14)</f>
        <v>0</v>
      </c>
      <c r="G15" s="15">
        <f>SUM(G10:G14)</f>
        <v>567000</v>
      </c>
      <c r="H15" s="15">
        <f>SUM(H10:H14)</f>
        <v>162000</v>
      </c>
      <c r="I15" s="15">
        <f>SUM(I10:I14)</f>
        <v>729000</v>
      </c>
      <c r="J15" s="4"/>
    </row>
    <row r="16" spans="1:9" ht="15">
      <c r="A16" s="96"/>
      <c r="C16" s="143"/>
      <c r="E16" s="139"/>
      <c r="G16" s="11"/>
      <c r="H16" s="10"/>
      <c r="I16" s="19"/>
    </row>
    <row r="17" spans="1:9" ht="12.75">
      <c r="A17" s="96"/>
      <c r="B17" s="100"/>
      <c r="E17" s="139"/>
      <c r="G17" s="11"/>
      <c r="H17" s="10"/>
      <c r="I17" s="19"/>
    </row>
    <row r="18" spans="1:9" ht="15">
      <c r="A18" s="144" t="s">
        <v>9</v>
      </c>
      <c r="B18" s="143" t="s">
        <v>35</v>
      </c>
      <c r="E18" s="139"/>
      <c r="G18" s="11"/>
      <c r="H18" s="10"/>
      <c r="I18" s="19"/>
    </row>
    <row r="19" spans="1:9" ht="12.75" hidden="1" outlineLevel="1">
      <c r="A19" s="96" t="s">
        <v>438</v>
      </c>
      <c r="B19" s="100" t="s">
        <v>622</v>
      </c>
      <c r="E19" s="139">
        <v>0</v>
      </c>
      <c r="G19" s="11">
        <v>0</v>
      </c>
      <c r="H19" s="10">
        <v>0</v>
      </c>
      <c r="I19" s="19">
        <v>0</v>
      </c>
    </row>
    <row r="20" spans="1:9" ht="12.75" hidden="1" outlineLevel="1">
      <c r="A20" s="96" t="s">
        <v>623</v>
      </c>
      <c r="B20" s="100" t="s">
        <v>624</v>
      </c>
      <c r="E20" s="139">
        <v>0</v>
      </c>
      <c r="G20" s="11">
        <v>0</v>
      </c>
      <c r="H20" s="10">
        <v>0</v>
      </c>
      <c r="I20" s="19">
        <v>0</v>
      </c>
    </row>
    <row r="21" spans="1:9" ht="12.75" hidden="1" outlineLevel="1">
      <c r="A21" s="96" t="s">
        <v>625</v>
      </c>
      <c r="B21" s="100" t="s">
        <v>626</v>
      </c>
      <c r="E21" s="139">
        <v>0</v>
      </c>
      <c r="G21" s="11">
        <v>0</v>
      </c>
      <c r="H21" s="10">
        <v>0</v>
      </c>
      <c r="I21" s="19">
        <v>0</v>
      </c>
    </row>
    <row r="22" spans="1:9" ht="12.75" hidden="1" outlineLevel="1">
      <c r="A22" s="98" t="s">
        <v>627</v>
      </c>
      <c r="B22" s="101" t="s">
        <v>628</v>
      </c>
      <c r="C22" s="7"/>
      <c r="D22" s="7"/>
      <c r="E22" s="140">
        <v>0</v>
      </c>
      <c r="F22" s="4"/>
      <c r="G22" s="13">
        <v>0</v>
      </c>
      <c r="H22" s="12">
        <v>0</v>
      </c>
      <c r="I22" s="12">
        <v>0</v>
      </c>
    </row>
    <row r="23" spans="1:9" ht="12.75" hidden="1" outlineLevel="1">
      <c r="A23" s="96" t="s">
        <v>629</v>
      </c>
      <c r="B23" s="100" t="s">
        <v>630</v>
      </c>
      <c r="E23" s="139">
        <v>0</v>
      </c>
      <c r="G23" s="11">
        <v>0</v>
      </c>
      <c r="H23" s="10">
        <v>0</v>
      </c>
      <c r="I23" s="19">
        <v>0</v>
      </c>
    </row>
    <row r="24" spans="1:9" ht="12.75" hidden="1" outlineLevel="1">
      <c r="A24" s="96" t="s">
        <v>631</v>
      </c>
      <c r="B24" s="100" t="s">
        <v>644</v>
      </c>
      <c r="E24" s="139">
        <v>0</v>
      </c>
      <c r="G24" s="11">
        <v>0</v>
      </c>
      <c r="H24" s="10">
        <v>0</v>
      </c>
      <c r="I24" s="19">
        <v>0</v>
      </c>
    </row>
    <row r="25" spans="1:9" ht="12.75" hidden="1" outlineLevel="1">
      <c r="A25" s="96" t="s">
        <v>633</v>
      </c>
      <c r="B25" s="100" t="s">
        <v>634</v>
      </c>
      <c r="E25" s="139">
        <v>0</v>
      </c>
      <c r="G25" s="11">
        <v>0</v>
      </c>
      <c r="H25" s="10">
        <v>0</v>
      </c>
      <c r="I25" s="19">
        <v>0</v>
      </c>
    </row>
    <row r="26" spans="1:9" ht="12.75" collapsed="1">
      <c r="A26" s="98"/>
      <c r="B26" s="180" t="s">
        <v>1256</v>
      </c>
      <c r="C26" s="7"/>
      <c r="D26" s="7"/>
      <c r="E26" s="140">
        <f>'Sundurliðun viðauka nr.2'!T1798/1000</f>
        <v>0</v>
      </c>
      <c r="G26" s="11">
        <v>0</v>
      </c>
      <c r="H26" s="10">
        <f>E26</f>
        <v>0</v>
      </c>
      <c r="I26" s="19">
        <f>G26+H26</f>
        <v>0</v>
      </c>
    </row>
    <row r="27" spans="1:9" ht="15">
      <c r="A27" s="96"/>
      <c r="C27" s="141" t="s">
        <v>638</v>
      </c>
      <c r="D27" s="8"/>
      <c r="E27" s="142">
        <f>SUM(E19:E26)</f>
        <v>0</v>
      </c>
      <c r="G27" s="15">
        <f>SUM(G19:G26)</f>
        <v>0</v>
      </c>
      <c r="H27" s="14">
        <f>SUM(H19:H26)</f>
        <v>0</v>
      </c>
      <c r="I27" s="151">
        <f>SUM(I19:I26)</f>
        <v>0</v>
      </c>
    </row>
    <row r="28" spans="1:9" ht="12.75">
      <c r="A28" s="7"/>
      <c r="B28" s="7"/>
      <c r="C28" s="7"/>
      <c r="D28" s="7"/>
      <c r="E28" s="145"/>
      <c r="G28" s="11"/>
      <c r="H28" s="10"/>
      <c r="I28" s="19"/>
    </row>
    <row r="29" spans="3:9" ht="15">
      <c r="C29" s="112" t="s">
        <v>639</v>
      </c>
      <c r="E29" s="142">
        <f>E15+E27</f>
        <v>0</v>
      </c>
      <c r="G29" s="15">
        <f>G15+G27</f>
        <v>567000</v>
      </c>
      <c r="H29" s="15">
        <f>H15+H27</f>
        <v>162000</v>
      </c>
      <c r="I29" s="15">
        <f>I15+I27</f>
        <v>729000</v>
      </c>
    </row>
    <row r="30" ht="12.75">
      <c r="E30" s="106"/>
    </row>
    <row r="31" spans="2:5" ht="18.75">
      <c r="B31" s="146" t="s">
        <v>3</v>
      </c>
      <c r="E31" s="4"/>
    </row>
    <row r="32" ht="18.75">
      <c r="B32" s="129" t="s">
        <v>39</v>
      </c>
    </row>
    <row r="33" ht="15">
      <c r="E33" s="134" t="s">
        <v>2</v>
      </c>
    </row>
    <row r="34" spans="1:5" ht="15">
      <c r="A34" s="113" t="s">
        <v>9</v>
      </c>
      <c r="B34" s="131" t="s">
        <v>40</v>
      </c>
      <c r="C34" s="131" t="s">
        <v>0</v>
      </c>
      <c r="D34" s="131"/>
      <c r="E34" s="116" t="s">
        <v>643</v>
      </c>
    </row>
    <row r="35" ht="409.5">
      <c r="E35" s="114"/>
    </row>
    <row r="36" spans="1:5" ht="409.5">
      <c r="A36" s="108" t="s">
        <v>640</v>
      </c>
      <c r="B36" t="s">
        <v>41</v>
      </c>
      <c r="E36" s="125">
        <f>-H29</f>
        <v>-162000</v>
      </c>
    </row>
    <row r="37" spans="1:5" ht="409.5">
      <c r="A37" s="108" t="s">
        <v>640</v>
      </c>
      <c r="B37" t="s">
        <v>46</v>
      </c>
      <c r="E37" s="125"/>
    </row>
    <row r="38" spans="1:5" ht="409.5">
      <c r="A38" s="108" t="s">
        <v>640</v>
      </c>
      <c r="B38" t="s">
        <v>645</v>
      </c>
      <c r="E38" s="125"/>
    </row>
    <row r="39" spans="1:5" ht="409.5">
      <c r="A39" s="108" t="s">
        <v>640</v>
      </c>
      <c r="B39" t="s">
        <v>47</v>
      </c>
      <c r="E39" s="125"/>
    </row>
    <row r="40" spans="2:5" ht="409.5">
      <c r="B40" t="s">
        <v>641</v>
      </c>
      <c r="E40" s="125"/>
    </row>
    <row r="41" ht="409.5">
      <c r="E41" s="125"/>
    </row>
    <row r="42" spans="1:5" ht="409.5">
      <c r="A42" s="7"/>
      <c r="B42" s="7"/>
      <c r="C42" s="7"/>
      <c r="D42" s="7"/>
      <c r="E42" s="147"/>
    </row>
    <row r="43" ht="409.5">
      <c r="E43" s="125">
        <f>SUM(E36:E42)</f>
        <v>-162000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9">
      <selection activeCell="H11" sqref="H11"/>
    </sheetView>
  </sheetViews>
  <sheetFormatPr defaultColWidth="9.140625" defaultRowHeight="12.75"/>
  <cols>
    <col min="1" max="1" width="3.7109375" style="0" bestFit="1" customWidth="1"/>
    <col min="2" max="2" width="50.7109375" style="0" bestFit="1" customWidth="1"/>
    <col min="3" max="3" width="14.8515625" style="0" customWidth="1"/>
    <col min="4" max="4" width="24.00390625" style="0" customWidth="1"/>
    <col min="5" max="5" width="8.8515625" style="0" customWidth="1"/>
    <col min="6" max="6" width="1.7109375" style="0" customWidth="1"/>
    <col min="7" max="7" width="9.7109375" style="0" bestFit="1" customWidth="1"/>
    <col min="8" max="8" width="9.28125" style="0" customWidth="1"/>
    <col min="9" max="9" width="11.421875" style="0" bestFit="1" customWidth="1"/>
    <col min="10" max="10" width="1.57421875" style="0" customWidth="1"/>
    <col min="11" max="11" width="9.57421875" style="0" bestFit="1" customWidth="1"/>
  </cols>
  <sheetData>
    <row r="1" ht="18.75">
      <c r="B1" s="81"/>
    </row>
    <row r="2" spans="4:11" ht="15.75">
      <c r="D2" s="7"/>
      <c r="E2" s="82" t="s">
        <v>604</v>
      </c>
      <c r="G2" s="83"/>
      <c r="H2" s="84" t="s">
        <v>447</v>
      </c>
      <c r="I2" s="83"/>
      <c r="J2" s="7"/>
      <c r="K2" s="7"/>
    </row>
    <row r="3" spans="2:10" ht="21">
      <c r="B3" s="85" t="s">
        <v>38</v>
      </c>
      <c r="G3" s="86" t="s">
        <v>8</v>
      </c>
      <c r="H3" s="86" t="s">
        <v>605</v>
      </c>
      <c r="I3" s="86" t="s">
        <v>8</v>
      </c>
      <c r="J3" s="73"/>
    </row>
    <row r="4" spans="2:10" ht="18.75">
      <c r="B4" s="81" t="s">
        <v>1592</v>
      </c>
      <c r="E4" s="87" t="s">
        <v>606</v>
      </c>
      <c r="G4" s="86" t="s">
        <v>12</v>
      </c>
      <c r="H4" s="86" t="s">
        <v>607</v>
      </c>
      <c r="I4" s="86" t="s">
        <v>12</v>
      </c>
      <c r="J4" s="73"/>
    </row>
    <row r="5" spans="2:10" ht="15.75">
      <c r="B5" s="88" t="s">
        <v>608</v>
      </c>
      <c r="E5" s="87" t="s">
        <v>48</v>
      </c>
      <c r="G5" s="86" t="s">
        <v>500</v>
      </c>
      <c r="H5" s="86" t="s">
        <v>609</v>
      </c>
      <c r="I5" s="86" t="s">
        <v>610</v>
      </c>
      <c r="J5" s="73"/>
    </row>
    <row r="6" spans="5:10" ht="12.75">
      <c r="E6" s="78"/>
      <c r="G6" s="76"/>
      <c r="H6" s="133" t="s">
        <v>1593</v>
      </c>
      <c r="I6" s="86"/>
      <c r="J6" s="73"/>
    </row>
    <row r="7" spans="1:11" ht="15">
      <c r="A7" s="89" t="s">
        <v>9</v>
      </c>
      <c r="B7" s="74" t="s">
        <v>10</v>
      </c>
      <c r="C7" s="90" t="s">
        <v>0</v>
      </c>
      <c r="D7" s="91" t="s">
        <v>611</v>
      </c>
      <c r="E7" s="92"/>
      <c r="G7" s="86" t="s">
        <v>11</v>
      </c>
      <c r="H7" s="86" t="s">
        <v>11</v>
      </c>
      <c r="I7" s="86" t="s">
        <v>11</v>
      </c>
      <c r="J7" s="73"/>
      <c r="K7" s="86" t="s">
        <v>612</v>
      </c>
    </row>
    <row r="8" spans="1:11" ht="15">
      <c r="A8" s="7"/>
      <c r="B8" s="83"/>
      <c r="C8" s="83"/>
      <c r="D8" s="83"/>
      <c r="E8" s="93"/>
      <c r="G8" s="94" t="s">
        <v>13</v>
      </c>
      <c r="H8" s="94" t="s">
        <v>13</v>
      </c>
      <c r="I8" s="94" t="s">
        <v>13</v>
      </c>
      <c r="J8" s="73"/>
      <c r="K8" s="86" t="s">
        <v>48</v>
      </c>
    </row>
    <row r="9" spans="2:11" ht="15">
      <c r="B9" s="74" t="s">
        <v>14</v>
      </c>
      <c r="E9" s="95"/>
      <c r="G9" s="16"/>
      <c r="H9" s="5"/>
      <c r="I9" s="5"/>
      <c r="K9" s="5"/>
    </row>
    <row r="10" spans="1:13" ht="12.75">
      <c r="A10" s="96" t="s">
        <v>15</v>
      </c>
      <c r="B10" t="s">
        <v>16</v>
      </c>
      <c r="E10" s="97">
        <f>'Sundurliðun viðauka nr.2'!H28/1000</f>
        <v>0</v>
      </c>
      <c r="G10" s="10">
        <f>-5153168645/1000</f>
        <v>-5153168.645</v>
      </c>
      <c r="H10" s="10">
        <f>0/1000+E10</f>
        <v>0</v>
      </c>
      <c r="I10" s="10">
        <f>G10+H10</f>
        <v>-5153168.645</v>
      </c>
      <c r="K10" s="152">
        <f>I10/G10-1</f>
        <v>0</v>
      </c>
      <c r="M10" t="s">
        <v>1</v>
      </c>
    </row>
    <row r="11" spans="1:13" ht="12.75">
      <c r="A11" s="96" t="s">
        <v>17</v>
      </c>
      <c r="B11" t="s">
        <v>18</v>
      </c>
      <c r="E11" s="97">
        <f>'Sundurliðun viðauka nr.2'!H205/1000</f>
        <v>3419.909</v>
      </c>
      <c r="G11" s="10">
        <f>927792002/1000</f>
        <v>927792.002</v>
      </c>
      <c r="H11" s="10">
        <f>16857666/1000+E11</f>
        <v>20277.575</v>
      </c>
      <c r="I11" s="10">
        <f aca="true" t="shared" si="0" ref="I11:I32">G11+H11</f>
        <v>948069.5769999999</v>
      </c>
      <c r="K11" s="152">
        <f aca="true" t="shared" si="1" ref="K11:K32">I11/G11-1</f>
        <v>0.02185573378115846</v>
      </c>
      <c r="M11" t="s">
        <v>1</v>
      </c>
    </row>
    <row r="12" spans="1:11" ht="12.75">
      <c r="A12" s="96" t="s">
        <v>19</v>
      </c>
      <c r="B12" t="s">
        <v>20</v>
      </c>
      <c r="E12" s="97">
        <f>'Sundurliðun viðauka nr.2'!H211/1000</f>
        <v>0</v>
      </c>
      <c r="G12" s="10">
        <f>4810000/1000</f>
        <v>4810</v>
      </c>
      <c r="H12" s="10">
        <f>0/1000+E12</f>
        <v>0</v>
      </c>
      <c r="I12" s="10">
        <f t="shared" si="0"/>
        <v>4810</v>
      </c>
      <c r="K12" s="154" t="s">
        <v>1</v>
      </c>
    </row>
    <row r="13" spans="1:13" ht="12.75">
      <c r="A13" s="96" t="s">
        <v>21</v>
      </c>
      <c r="B13" t="s">
        <v>22</v>
      </c>
      <c r="E13" s="97">
        <f>'Sundurliðun viðauka nr.2'!H395/1000</f>
        <v>17476.844</v>
      </c>
      <c r="G13" s="10">
        <f>2495591247/1000</f>
        <v>2495591.247</v>
      </c>
      <c r="H13" s="10">
        <f>260000/1000+E13</f>
        <v>17736.844</v>
      </c>
      <c r="I13" s="10">
        <f t="shared" si="0"/>
        <v>2513328.091</v>
      </c>
      <c r="K13" s="152">
        <f t="shared" si="1"/>
        <v>0.007107271281433514</v>
      </c>
      <c r="M13" t="s">
        <v>1</v>
      </c>
    </row>
    <row r="14" spans="1:13" ht="12.75">
      <c r="A14" s="98" t="s">
        <v>23</v>
      </c>
      <c r="B14" s="7" t="s">
        <v>24</v>
      </c>
      <c r="C14" s="7"/>
      <c r="D14" s="7"/>
      <c r="E14" s="99">
        <f>'Sundurliðun viðauka nr.2'!H472/1000</f>
        <v>-2323</v>
      </c>
      <c r="F14" s="7"/>
      <c r="G14" s="12">
        <f>202355051/1000</f>
        <v>202355.051</v>
      </c>
      <c r="H14" s="12">
        <f>3080823/1000+E14</f>
        <v>757.8229999999999</v>
      </c>
      <c r="I14" s="198">
        <f t="shared" si="0"/>
        <v>203112.874</v>
      </c>
      <c r="K14" s="152">
        <f t="shared" si="1"/>
        <v>0.0037450164760157723</v>
      </c>
      <c r="M14" t="s">
        <v>1</v>
      </c>
    </row>
    <row r="15" spans="1:13" ht="12.75">
      <c r="A15" s="96" t="s">
        <v>25</v>
      </c>
      <c r="B15" t="s">
        <v>26</v>
      </c>
      <c r="E15" s="97">
        <f>'Sundurliðun viðauka nr.2'!H628/1000</f>
        <v>24942.243</v>
      </c>
      <c r="G15" s="10">
        <f>430303286/1000</f>
        <v>430303.286</v>
      </c>
      <c r="H15" s="10">
        <f>5288199/1000+E15</f>
        <v>30230.442</v>
      </c>
      <c r="I15" s="10">
        <f t="shared" si="0"/>
        <v>460533.728</v>
      </c>
      <c r="K15" s="152">
        <f t="shared" si="1"/>
        <v>0.07025380233791667</v>
      </c>
      <c r="M15" t="s">
        <v>1</v>
      </c>
    </row>
    <row r="16" spans="1:13" ht="12.75">
      <c r="A16" s="96" t="s">
        <v>27</v>
      </c>
      <c r="B16" t="s">
        <v>613</v>
      </c>
      <c r="E16" s="97">
        <f>'Sundurliðun viðauka nr.2'!H659/1000</f>
        <v>1158.116</v>
      </c>
      <c r="G16" s="10">
        <f>52271538/1000</f>
        <v>52271.538</v>
      </c>
      <c r="H16" s="10">
        <f>0/1000+E16</f>
        <v>1158.116</v>
      </c>
      <c r="I16" s="10">
        <f t="shared" si="0"/>
        <v>53429.654</v>
      </c>
      <c r="K16" s="152">
        <f t="shared" si="1"/>
        <v>0.022155766681286604</v>
      </c>
      <c r="M16" t="s">
        <v>1</v>
      </c>
    </row>
    <row r="17" spans="1:11" ht="12.75">
      <c r="A17" s="96" t="s">
        <v>28</v>
      </c>
      <c r="B17" t="s">
        <v>29</v>
      </c>
      <c r="E17" s="97">
        <f>'Sundurliðun viðauka nr.2'!H674/1000</f>
        <v>0</v>
      </c>
      <c r="G17" s="10">
        <f>2099000/1000</f>
        <v>2099</v>
      </c>
      <c r="H17" s="10">
        <f>0/1000+E17</f>
        <v>0</v>
      </c>
      <c r="I17" s="10">
        <f t="shared" si="0"/>
        <v>2099</v>
      </c>
      <c r="K17" s="152">
        <f t="shared" si="1"/>
        <v>0</v>
      </c>
    </row>
    <row r="18" spans="1:11" ht="12.75">
      <c r="A18" s="96" t="s">
        <v>30</v>
      </c>
      <c r="B18" t="s">
        <v>614</v>
      </c>
      <c r="E18" s="97">
        <f>'Sundurliðun viðauka nr.2'!H726/1000</f>
        <v>-195.417</v>
      </c>
      <c r="G18" s="10">
        <f>93110826/1000</f>
        <v>93110.826</v>
      </c>
      <c r="H18" s="10">
        <f>5575188/1000+E18</f>
        <v>5379.771</v>
      </c>
      <c r="I18" s="10">
        <f t="shared" si="0"/>
        <v>98490.597</v>
      </c>
      <c r="K18" s="152">
        <f t="shared" si="1"/>
        <v>0.057778147086784415</v>
      </c>
    </row>
    <row r="19" spans="1:11" ht="12.75">
      <c r="A19" s="98">
        <v>10</v>
      </c>
      <c r="B19" s="7" t="s">
        <v>615</v>
      </c>
      <c r="C19" s="7"/>
      <c r="D19" s="7"/>
      <c r="E19" s="99">
        <f>'Sundurliðun viðauka nr.2'!H759/1000</f>
        <v>869.368</v>
      </c>
      <c r="F19" s="7"/>
      <c r="G19" s="12">
        <f>209699236/1000</f>
        <v>209699.236</v>
      </c>
      <c r="H19" s="12">
        <f>0/1000+E19</f>
        <v>869.368</v>
      </c>
      <c r="I19" s="12">
        <f t="shared" si="0"/>
        <v>210568.604</v>
      </c>
      <c r="K19" s="152">
        <f t="shared" si="1"/>
        <v>0.004145785252169354</v>
      </c>
    </row>
    <row r="20" spans="1:11" ht="12.75">
      <c r="A20" s="96">
        <v>11</v>
      </c>
      <c r="B20" t="s">
        <v>31</v>
      </c>
      <c r="E20" s="97">
        <f>'Sundurliðun viðauka nr.2'!H805/1000</f>
        <v>0</v>
      </c>
      <c r="G20" s="10">
        <f>61888469/1000</f>
        <v>61888.469</v>
      </c>
      <c r="H20" s="10">
        <f>0/1000+E20</f>
        <v>0</v>
      </c>
      <c r="I20" s="10">
        <f t="shared" si="0"/>
        <v>61888.469</v>
      </c>
      <c r="K20" s="152">
        <f t="shared" si="1"/>
        <v>0</v>
      </c>
    </row>
    <row r="21" spans="1:11" ht="12.75">
      <c r="A21" s="96">
        <v>13</v>
      </c>
      <c r="B21" t="s">
        <v>32</v>
      </c>
      <c r="E21" s="97">
        <f>'Sundurliðun viðauka nr.2'!H897/1000</f>
        <v>4004.239</v>
      </c>
      <c r="G21" s="10">
        <f>24936927/1000</f>
        <v>24936.927</v>
      </c>
      <c r="H21" s="10">
        <f>51932/1000+E21</f>
        <v>4056.171</v>
      </c>
      <c r="I21" s="10">
        <f t="shared" si="0"/>
        <v>28993.097999999998</v>
      </c>
      <c r="K21" s="152">
        <f t="shared" si="1"/>
        <v>0.16265721113110687</v>
      </c>
    </row>
    <row r="22" spans="1:13" ht="12.75">
      <c r="A22" s="96">
        <v>20</v>
      </c>
      <c r="B22" s="9" t="s">
        <v>655</v>
      </c>
      <c r="E22" s="97">
        <f>'Sundurliðun viðauka nr.2'!H973/1000</f>
        <v>-23424.049</v>
      </c>
      <c r="G22" s="10">
        <f>95679000/1000</f>
        <v>95679</v>
      </c>
      <c r="H22" s="10">
        <f>-12667000/1000+E22</f>
        <v>-36091.049</v>
      </c>
      <c r="I22" s="10">
        <f t="shared" si="0"/>
        <v>59587.951</v>
      </c>
      <c r="K22" s="152">
        <f t="shared" si="1"/>
        <v>-0.377209722091577</v>
      </c>
      <c r="M22" t="s">
        <v>1</v>
      </c>
    </row>
    <row r="23" spans="1:11" ht="12.75">
      <c r="A23" s="96">
        <v>21</v>
      </c>
      <c r="B23" t="s">
        <v>33</v>
      </c>
      <c r="E23" s="97">
        <f>'Sundurliðun viðauka nr.2'!H1062/1000</f>
        <v>10659.405</v>
      </c>
      <c r="G23" s="10">
        <f>321817104/1000</f>
        <v>321817.104</v>
      </c>
      <c r="H23" s="10">
        <f>17651923/1000+E23</f>
        <v>28311.328</v>
      </c>
      <c r="I23" s="10">
        <f t="shared" si="0"/>
        <v>350128.432</v>
      </c>
      <c r="K23" s="152">
        <f t="shared" si="1"/>
        <v>0.08797334774350585</v>
      </c>
    </row>
    <row r="24" spans="1:13" ht="12.75">
      <c r="A24" s="98">
        <v>22</v>
      </c>
      <c r="B24" s="7" t="s">
        <v>616</v>
      </c>
      <c r="C24" s="7"/>
      <c r="D24" s="7"/>
      <c r="E24" s="99">
        <f>'Sundurliðun viðauka nr.2'!H1068/1000</f>
        <v>0</v>
      </c>
      <c r="F24" s="7"/>
      <c r="G24" s="12">
        <f>273962000/1000</f>
        <v>273962</v>
      </c>
      <c r="H24" s="12">
        <f>0+E24</f>
        <v>0</v>
      </c>
      <c r="I24" s="12">
        <f t="shared" si="0"/>
        <v>273962</v>
      </c>
      <c r="K24" s="152">
        <f t="shared" si="1"/>
        <v>0</v>
      </c>
      <c r="M24" s="3" t="s">
        <v>1</v>
      </c>
    </row>
    <row r="25" spans="1:11" ht="12.75">
      <c r="A25" s="96">
        <v>27</v>
      </c>
      <c r="B25" t="s">
        <v>617</v>
      </c>
      <c r="E25" s="97">
        <v>0</v>
      </c>
      <c r="G25" s="10">
        <v>0</v>
      </c>
      <c r="H25" s="10">
        <f>0+E25</f>
        <v>0</v>
      </c>
      <c r="I25" s="10">
        <f t="shared" si="0"/>
        <v>0</v>
      </c>
      <c r="K25" s="154" t="s">
        <v>1</v>
      </c>
    </row>
    <row r="26" spans="1:11" ht="12.75">
      <c r="A26" s="96">
        <v>28</v>
      </c>
      <c r="B26" t="s">
        <v>512</v>
      </c>
      <c r="E26" s="97">
        <f>'Sundurliðun viðauka nr.2'!H1084/1000</f>
        <v>-15133.052</v>
      </c>
      <c r="G26" s="10">
        <f>-241111223/1000</f>
        <v>-241111.223</v>
      </c>
      <c r="H26" s="10">
        <f>-18597000/1000+E26</f>
        <v>-33730.051999999996</v>
      </c>
      <c r="I26" s="10">
        <f t="shared" si="0"/>
        <v>-274841.275</v>
      </c>
      <c r="K26" s="152">
        <f t="shared" si="1"/>
        <v>0.1398941599661665</v>
      </c>
    </row>
    <row r="27" spans="1:13" ht="12.75">
      <c r="A27" s="96">
        <v>31</v>
      </c>
      <c r="B27" t="s">
        <v>618</v>
      </c>
      <c r="E27" s="97">
        <f>'Sundurliðun viðauka nr.2'!H1560/1000</f>
        <v>-15514.313</v>
      </c>
      <c r="G27" s="10">
        <f>13555646/1000</f>
        <v>13555.646</v>
      </c>
      <c r="H27" s="10">
        <f>-8158944/1000+E27</f>
        <v>-23673.257</v>
      </c>
      <c r="I27" s="10">
        <f t="shared" si="0"/>
        <v>-10117.611</v>
      </c>
      <c r="K27" s="152">
        <f t="shared" si="1"/>
        <v>-1.7463761594246412</v>
      </c>
      <c r="M27" t="s">
        <v>1</v>
      </c>
    </row>
    <row r="28" spans="1:11" ht="12.75">
      <c r="A28" s="96" t="s">
        <v>619</v>
      </c>
      <c r="B28" t="s">
        <v>620</v>
      </c>
      <c r="E28" s="97">
        <v>0</v>
      </c>
      <c r="G28" s="10">
        <v>0</v>
      </c>
      <c r="H28" s="10">
        <f>0+E28</f>
        <v>0</v>
      </c>
      <c r="I28" s="10">
        <f t="shared" si="0"/>
        <v>0</v>
      </c>
      <c r="K28" s="154" t="s">
        <v>1</v>
      </c>
    </row>
    <row r="29" spans="1:11" ht="12.75">
      <c r="A29" s="110" t="s">
        <v>444</v>
      </c>
      <c r="B29" s="9" t="s">
        <v>445</v>
      </c>
      <c r="E29" s="97">
        <f>'Sundurliðun viðauka nr.2'!H1641/1000</f>
        <v>-5728.293</v>
      </c>
      <c r="G29" s="10">
        <f>5545841/1000</f>
        <v>5545.841</v>
      </c>
      <c r="H29" s="10">
        <f>1671/1000+E29</f>
        <v>-5726.621999999999</v>
      </c>
      <c r="I29" s="10">
        <f t="shared" si="0"/>
        <v>-180.78099999999904</v>
      </c>
      <c r="K29" s="152">
        <f t="shared" si="1"/>
        <v>-1.0325975807817063</v>
      </c>
    </row>
    <row r="30" spans="1:11" ht="12.75">
      <c r="A30" s="110" t="s">
        <v>36</v>
      </c>
      <c r="B30" s="9" t="s">
        <v>446</v>
      </c>
      <c r="E30" s="97">
        <v>0</v>
      </c>
      <c r="G30" s="10">
        <v>0</v>
      </c>
      <c r="H30" s="10">
        <f>0+E30</f>
        <v>0</v>
      </c>
      <c r="I30" s="10">
        <f t="shared" si="0"/>
        <v>0</v>
      </c>
      <c r="K30" s="152" t="e">
        <f t="shared" si="1"/>
        <v>#DIV/0!</v>
      </c>
    </row>
    <row r="31" spans="1:11" ht="12.75">
      <c r="A31" s="96">
        <v>59</v>
      </c>
      <c r="B31" s="100" t="s">
        <v>621</v>
      </c>
      <c r="E31" s="97">
        <v>0</v>
      </c>
      <c r="G31" s="10">
        <v>0</v>
      </c>
      <c r="H31" s="10">
        <f>0+E31</f>
        <v>0</v>
      </c>
      <c r="I31" s="10">
        <f t="shared" si="0"/>
        <v>0</v>
      </c>
      <c r="K31" s="154" t="s">
        <v>1</v>
      </c>
    </row>
    <row r="32" spans="1:13" ht="12.75">
      <c r="A32" s="110" t="s">
        <v>438</v>
      </c>
      <c r="B32" s="111" t="s">
        <v>439</v>
      </c>
      <c r="E32" s="97">
        <f>'Sundurliðun viðauka nr.2'!H1729/1000</f>
        <v>-212</v>
      </c>
      <c r="G32" s="10">
        <f>-535541/1000</f>
        <v>-535.541</v>
      </c>
      <c r="H32" s="10">
        <f>-9344458/1000+E32</f>
        <v>-9556.458</v>
      </c>
      <c r="I32" s="10">
        <f t="shared" si="0"/>
        <v>-10091.999</v>
      </c>
      <c r="K32" s="152">
        <f t="shared" si="1"/>
        <v>17.844493698895132</v>
      </c>
      <c r="M32" t="s">
        <v>1</v>
      </c>
    </row>
    <row r="33" spans="1:11" ht="12.75">
      <c r="A33" s="98">
        <v>91</v>
      </c>
      <c r="B33" s="101" t="s">
        <v>34</v>
      </c>
      <c r="C33" s="7"/>
      <c r="D33" s="7"/>
      <c r="E33" s="99">
        <v>0</v>
      </c>
      <c r="F33" s="4"/>
      <c r="G33" s="12"/>
      <c r="H33" s="75"/>
      <c r="I33" s="75"/>
      <c r="J33" s="4"/>
      <c r="K33" s="154" t="s">
        <v>1</v>
      </c>
    </row>
    <row r="34" spans="1:11" ht="15">
      <c r="A34" s="96"/>
      <c r="C34" s="102" t="s">
        <v>14</v>
      </c>
      <c r="D34" s="8"/>
      <c r="E34" s="103">
        <f>SUM(E10:E33)</f>
        <v>3.637978807091713E-12</v>
      </c>
      <c r="G34" s="14">
        <f>SUM(G10:G33)</f>
        <v>-179398.23599999913</v>
      </c>
      <c r="H34" s="14">
        <f>SUM(H10:H33)</f>
        <v>0</v>
      </c>
      <c r="I34" s="14">
        <f>SUM(I10:I33)</f>
        <v>-179398.23600000003</v>
      </c>
      <c r="J34" s="4"/>
      <c r="K34" s="153">
        <f>I34/G34-1</f>
        <v>5.10702591327572E-15</v>
      </c>
    </row>
    <row r="35" spans="1:11" ht="15">
      <c r="A35" s="96"/>
      <c r="C35" s="104"/>
      <c r="E35" s="97"/>
      <c r="G35" s="10"/>
      <c r="H35" s="6"/>
      <c r="I35" s="6"/>
      <c r="J35" s="4"/>
      <c r="K35" s="17"/>
    </row>
    <row r="36" spans="1:11" ht="12.75">
      <c r="A36" s="96"/>
      <c r="B36" s="100"/>
      <c r="E36" s="97"/>
      <c r="G36" s="10"/>
      <c r="H36" s="6"/>
      <c r="I36" s="6"/>
      <c r="K36" s="17"/>
    </row>
    <row r="37" spans="1:11" ht="15">
      <c r="A37" s="105" t="s">
        <v>9</v>
      </c>
      <c r="B37" s="104" t="s">
        <v>35</v>
      </c>
      <c r="E37" s="97"/>
      <c r="G37" s="10"/>
      <c r="H37" s="6"/>
      <c r="I37" s="6"/>
      <c r="K37" s="17"/>
    </row>
    <row r="38" spans="1:11" ht="12.75">
      <c r="A38" s="110" t="s">
        <v>440</v>
      </c>
      <c r="B38" s="111" t="s">
        <v>441</v>
      </c>
      <c r="E38" s="97">
        <v>0</v>
      </c>
      <c r="G38" s="10">
        <f>13000/1000</f>
        <v>13</v>
      </c>
      <c r="H38" s="10">
        <f>0+E38</f>
        <v>0</v>
      </c>
      <c r="I38" s="10">
        <f>G38+H38</f>
        <v>13</v>
      </c>
      <c r="K38" s="17"/>
    </row>
    <row r="39" spans="1:11" ht="12.75">
      <c r="A39" s="110" t="s">
        <v>36</v>
      </c>
      <c r="B39" s="111" t="s">
        <v>446</v>
      </c>
      <c r="E39" s="139">
        <f>'Sundurliðun viðauka nr.2'!H1657/1000</f>
        <v>0</v>
      </c>
      <c r="G39" s="10">
        <f>-17067/1000</f>
        <v>-17.067</v>
      </c>
      <c r="H39" s="10">
        <f>0/1000+E39</f>
        <v>0</v>
      </c>
      <c r="I39" s="10">
        <f>G39+H39</f>
        <v>-17.067</v>
      </c>
      <c r="K39" s="17"/>
    </row>
    <row r="40" spans="1:11" ht="12.75">
      <c r="A40" s="96" t="s">
        <v>438</v>
      </c>
      <c r="B40" s="100" t="s">
        <v>622</v>
      </c>
      <c r="E40" s="97">
        <v>0</v>
      </c>
      <c r="G40" s="10"/>
      <c r="H40" s="10">
        <f aca="true" t="shared" si="2" ref="H40:H49">E40</f>
        <v>0</v>
      </c>
      <c r="I40" s="10">
        <f aca="true" t="shared" si="3" ref="I40:I49">G40+H40</f>
        <v>0</v>
      </c>
      <c r="K40" s="17"/>
    </row>
    <row r="41" spans="1:11" ht="12.75">
      <c r="A41" s="96" t="s">
        <v>623</v>
      </c>
      <c r="B41" s="100" t="s">
        <v>624</v>
      </c>
      <c r="E41" s="97">
        <v>0</v>
      </c>
      <c r="G41" s="10"/>
      <c r="H41" s="10">
        <f t="shared" si="2"/>
        <v>0</v>
      </c>
      <c r="I41" s="10">
        <f t="shared" si="3"/>
        <v>0</v>
      </c>
      <c r="K41" s="17"/>
    </row>
    <row r="42" spans="1:11" ht="12.75">
      <c r="A42" s="96" t="s">
        <v>625</v>
      </c>
      <c r="B42" s="100" t="s">
        <v>626</v>
      </c>
      <c r="E42" s="97">
        <v>0</v>
      </c>
      <c r="G42" s="10"/>
      <c r="H42" s="10">
        <f t="shared" si="2"/>
        <v>0</v>
      </c>
      <c r="I42" s="10">
        <f t="shared" si="3"/>
        <v>0</v>
      </c>
      <c r="K42" s="17"/>
    </row>
    <row r="43" spans="1:11" ht="12.75">
      <c r="A43" s="98" t="s">
        <v>627</v>
      </c>
      <c r="B43" s="101" t="s">
        <v>628</v>
      </c>
      <c r="C43" s="7"/>
      <c r="D43" s="7"/>
      <c r="E43" s="99">
        <v>0</v>
      </c>
      <c r="F43" s="7"/>
      <c r="G43" s="12"/>
      <c r="H43" s="12">
        <f t="shared" si="2"/>
        <v>0</v>
      </c>
      <c r="I43" s="12">
        <f t="shared" si="3"/>
        <v>0</v>
      </c>
      <c r="K43" s="18"/>
    </row>
    <row r="44" spans="1:11" ht="12.75">
      <c r="A44" s="96" t="s">
        <v>629</v>
      </c>
      <c r="B44" s="100" t="s">
        <v>630</v>
      </c>
      <c r="E44" s="97">
        <v>0</v>
      </c>
      <c r="G44" s="10"/>
      <c r="H44" s="10">
        <f t="shared" si="2"/>
        <v>0</v>
      </c>
      <c r="I44" s="10">
        <f t="shared" si="3"/>
        <v>0</v>
      </c>
      <c r="K44" s="17"/>
    </row>
    <row r="45" spans="1:11" ht="12.75">
      <c r="A45" s="96" t="s">
        <v>631</v>
      </c>
      <c r="B45" s="100" t="s">
        <v>632</v>
      </c>
      <c r="E45" s="97">
        <v>0</v>
      </c>
      <c r="G45" s="10"/>
      <c r="H45" s="10">
        <f t="shared" si="2"/>
        <v>0</v>
      </c>
      <c r="I45" s="10">
        <f t="shared" si="3"/>
        <v>0</v>
      </c>
      <c r="K45" s="17"/>
    </row>
    <row r="46" spans="1:11" ht="12.75">
      <c r="A46" s="96" t="s">
        <v>633</v>
      </c>
      <c r="B46" s="100" t="s">
        <v>634</v>
      </c>
      <c r="E46" s="97">
        <v>0</v>
      </c>
      <c r="G46" s="10"/>
      <c r="H46" s="10">
        <f t="shared" si="2"/>
        <v>0</v>
      </c>
      <c r="I46" s="10">
        <f t="shared" si="3"/>
        <v>0</v>
      </c>
      <c r="K46" s="17"/>
    </row>
    <row r="47" spans="1:11" ht="12.75">
      <c r="A47" s="110" t="s">
        <v>442</v>
      </c>
      <c r="B47" s="111" t="s">
        <v>443</v>
      </c>
      <c r="E47" s="97">
        <v>0</v>
      </c>
      <c r="G47" s="10">
        <f>39000/1000</f>
        <v>39</v>
      </c>
      <c r="H47" s="10">
        <f>0+E47</f>
        <v>0</v>
      </c>
      <c r="I47" s="10">
        <f t="shared" si="3"/>
        <v>39</v>
      </c>
      <c r="K47" s="17"/>
    </row>
    <row r="48" spans="1:11" ht="409.5">
      <c r="A48" s="96" t="s">
        <v>635</v>
      </c>
      <c r="B48" s="111" t="s">
        <v>636</v>
      </c>
      <c r="E48" s="97">
        <v>0</v>
      </c>
      <c r="G48" s="10">
        <f>14538000/1000</f>
        <v>14538</v>
      </c>
      <c r="H48" s="10">
        <f>0+E48</f>
        <v>0</v>
      </c>
      <c r="I48" s="10">
        <f t="shared" si="3"/>
        <v>14538</v>
      </c>
      <c r="K48" s="17"/>
    </row>
    <row r="49" spans="1:11" ht="409.5">
      <c r="A49" s="98" t="s">
        <v>637</v>
      </c>
      <c r="B49" s="101" t="s">
        <v>34</v>
      </c>
      <c r="C49" s="7"/>
      <c r="D49" s="7"/>
      <c r="E49" s="99">
        <v>0</v>
      </c>
      <c r="G49" s="10"/>
      <c r="H49" s="10">
        <f t="shared" si="2"/>
        <v>0</v>
      </c>
      <c r="I49" s="10">
        <f t="shared" si="3"/>
        <v>0</v>
      </c>
      <c r="K49" s="18"/>
    </row>
    <row r="50" spans="1:11" ht="15">
      <c r="A50" s="96"/>
      <c r="C50" s="102" t="s">
        <v>638</v>
      </c>
      <c r="D50" s="8"/>
      <c r="E50" s="103">
        <f>SUM(E38:E49)</f>
        <v>0</v>
      </c>
      <c r="G50" s="14">
        <f>SUM(G37:G49)</f>
        <v>14572.933</v>
      </c>
      <c r="H50" s="14">
        <f>SUM(H37:H49)</f>
        <v>0</v>
      </c>
      <c r="I50" s="14">
        <f>SUM(I37:I49)</f>
        <v>14572.933</v>
      </c>
      <c r="K50" s="18"/>
    </row>
    <row r="51" spans="1:11" ht="409.5">
      <c r="A51" s="7"/>
      <c r="B51" s="7"/>
      <c r="C51" s="7"/>
      <c r="D51" s="7"/>
      <c r="E51" s="99"/>
      <c r="G51" s="10"/>
      <c r="H51" s="6"/>
      <c r="I51" s="10"/>
      <c r="K51" s="18"/>
    </row>
    <row r="52" spans="3:11" ht="15">
      <c r="C52" s="74" t="s">
        <v>639</v>
      </c>
      <c r="E52" s="103">
        <f>E34+E50</f>
        <v>3.637978807091713E-12</v>
      </c>
      <c r="G52" s="14">
        <f>G34+G50</f>
        <v>-164825.30299999914</v>
      </c>
      <c r="H52" s="14">
        <f>H34+H50</f>
        <v>0</v>
      </c>
      <c r="I52" s="14">
        <f>I34+I50</f>
        <v>-164825.30300000004</v>
      </c>
      <c r="K52" s="18">
        <f>I52/G52-1</f>
        <v>5.551115123125783E-15</v>
      </c>
    </row>
    <row r="53" ht="409.5">
      <c r="E53" s="106"/>
    </row>
    <row r="54" ht="409.5">
      <c r="E54" s="106"/>
    </row>
    <row r="55" spans="2:5" ht="18.75">
      <c r="B55" s="107" t="s">
        <v>38</v>
      </c>
      <c r="E55" s="4"/>
    </row>
    <row r="56" ht="18.75">
      <c r="B56" s="81" t="s">
        <v>39</v>
      </c>
    </row>
    <row r="57" ht="15">
      <c r="E57" s="87" t="s">
        <v>2</v>
      </c>
    </row>
    <row r="58" spans="1:5" ht="15">
      <c r="A58" s="77" t="s">
        <v>9</v>
      </c>
      <c r="B58" s="83" t="s">
        <v>40</v>
      </c>
      <c r="C58" s="83" t="s">
        <v>0</v>
      </c>
      <c r="D58" s="83"/>
      <c r="E58" s="79" t="s">
        <v>611</v>
      </c>
    </row>
    <row r="59" ht="409.5">
      <c r="E59" s="78"/>
    </row>
    <row r="60" spans="1:5" ht="409.5">
      <c r="A60" s="108" t="s">
        <v>640</v>
      </c>
      <c r="B60" t="s">
        <v>41</v>
      </c>
      <c r="E60" s="80">
        <f>'rekst - sjóðstr - efnah - aðals'!D83*0</f>
        <v>0</v>
      </c>
    </row>
    <row r="61" spans="2:5" ht="409.5">
      <c r="B61" t="s">
        <v>641</v>
      </c>
      <c r="E61" s="80"/>
    </row>
    <row r="62" ht="409.5">
      <c r="E62" s="80"/>
    </row>
    <row r="63" spans="1:5" ht="409.5">
      <c r="A63" s="7"/>
      <c r="B63" s="7"/>
      <c r="C63" s="7"/>
      <c r="D63" s="7"/>
      <c r="E63" s="109"/>
    </row>
    <row r="64" ht="409.5">
      <c r="E64" s="80">
        <f>SUM(E60:E63)</f>
        <v>0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4"/>
  <sheetViews>
    <sheetView zoomScalePageLayoutView="0" workbookViewId="0" topLeftCell="B1">
      <selection activeCell="D15" sqref="D15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10.00390625" style="0" hidden="1" customWidth="1" outlineLevel="1"/>
    <col min="11" max="11" width="9.140625" style="0" customWidth="1" collapsed="1"/>
  </cols>
  <sheetData>
    <row r="2" spans="3:9" ht="12.75">
      <c r="C2" s="21"/>
      <c r="E2" s="21"/>
      <c r="G2" s="21"/>
      <c r="I2" s="21"/>
    </row>
    <row r="3" spans="3:9" ht="45">
      <c r="C3" s="22" t="s">
        <v>493</v>
      </c>
      <c r="D3" s="23" t="s">
        <v>494</v>
      </c>
      <c r="E3" s="22" t="s">
        <v>493</v>
      </c>
      <c r="G3" s="22" t="s">
        <v>493</v>
      </c>
      <c r="H3" s="23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953</v>
      </c>
      <c r="D5" s="29" t="s">
        <v>953</v>
      </c>
      <c r="E5" s="28" t="s">
        <v>953</v>
      </c>
      <c r="G5" s="28" t="s">
        <v>953</v>
      </c>
      <c r="H5" s="29" t="s">
        <v>953</v>
      </c>
      <c r="I5" s="28" t="s">
        <v>973</v>
      </c>
    </row>
    <row r="6" spans="2:9" ht="15">
      <c r="B6" s="30" t="s">
        <v>499</v>
      </c>
      <c r="C6" s="31" t="s">
        <v>500</v>
      </c>
      <c r="D6" s="32" t="s">
        <v>1594</v>
      </c>
      <c r="E6" s="31" t="s">
        <v>501</v>
      </c>
      <c r="G6" s="31" t="s">
        <v>500</v>
      </c>
      <c r="H6" s="32" t="s">
        <v>1486</v>
      </c>
      <c r="I6" s="31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36">
        <f>3592347+478580+54477</f>
        <v>4125404</v>
      </c>
      <c r="D8" s="67">
        <f>0/1000-'Sundurliðun viðauka nr.2'!M1767/1000</f>
        <v>0</v>
      </c>
      <c r="E8" s="37">
        <f>C8+D8</f>
        <v>4125404</v>
      </c>
      <c r="G8" s="36">
        <f aca="true" t="shared" si="0" ref="G8:H10">C8</f>
        <v>4125404</v>
      </c>
      <c r="H8" s="67">
        <f t="shared" si="0"/>
        <v>0</v>
      </c>
      <c r="I8" s="37">
        <f>G8+H8</f>
        <v>4125404</v>
      </c>
    </row>
    <row r="9" spans="2:9" ht="12.75">
      <c r="B9" s="35" t="s">
        <v>503</v>
      </c>
      <c r="C9" s="36">
        <v>1011844</v>
      </c>
      <c r="D9" s="67">
        <f>-'Sundurliðun viðauka nr.2'!M1768/1000</f>
        <v>0</v>
      </c>
      <c r="E9" s="119">
        <f>C9+D9</f>
        <v>1011844</v>
      </c>
      <c r="G9" s="118">
        <f t="shared" si="0"/>
        <v>1011844</v>
      </c>
      <c r="H9" s="67">
        <f t="shared" si="0"/>
        <v>0</v>
      </c>
      <c r="I9" s="119">
        <f>G9+H9</f>
        <v>1011844</v>
      </c>
    </row>
    <row r="10" spans="2:9" ht="12.75">
      <c r="B10" s="35" t="s">
        <v>504</v>
      </c>
      <c r="C10" s="36">
        <v>511914</v>
      </c>
      <c r="D10" s="67">
        <f>0/1000-('Sundurliðun viðauka nr.2'!M1769+'Sundurliðun viðauka nr.2'!M1770+'Sundurliðun viðauka nr.2'!H1771+'Sundurliðun viðauka nr.2'!M1772+'Sundurliðun viðauka nr.2'!M1773)/1000+'Sundurliðun viðauka nr.2'!H1771/1000</f>
        <v>0</v>
      </c>
      <c r="E10" s="119">
        <f>C10+D10</f>
        <v>511914</v>
      </c>
      <c r="G10" s="118">
        <f t="shared" si="0"/>
        <v>511914</v>
      </c>
      <c r="H10" s="67">
        <f t="shared" si="0"/>
        <v>0</v>
      </c>
      <c r="I10" s="119">
        <f>G10+H10</f>
        <v>511914</v>
      </c>
    </row>
    <row r="11" spans="2:9" ht="12.75">
      <c r="B11" s="38"/>
      <c r="C11" s="39">
        <f>SUM(C8:C10)</f>
        <v>5649162</v>
      </c>
      <c r="D11" s="40">
        <f>SUM(D8:D10)</f>
        <v>0</v>
      </c>
      <c r="E11" s="39">
        <f>SUM(E8:E10)</f>
        <v>5649162</v>
      </c>
      <c r="G11" s="39">
        <f>SUM(G8:G10)</f>
        <v>5649162</v>
      </c>
      <c r="H11" s="40">
        <f>SUM(H8:H10)</f>
        <v>0</v>
      </c>
      <c r="I11" s="39">
        <f>SUM(I8:I10)</f>
        <v>5649162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36">
        <v>3344104</v>
      </c>
      <c r="D14" s="67">
        <f>20051731/1000+'Sundurliðun viðauka nr.2'!M1774/1000</f>
        <v>22951.731</v>
      </c>
      <c r="E14" s="37">
        <f>C14+D14</f>
        <v>3367055.731</v>
      </c>
      <c r="G14" s="36">
        <f aca="true" t="shared" si="1" ref="G14:H16">C14</f>
        <v>3344104</v>
      </c>
      <c r="H14" s="67">
        <f t="shared" si="1"/>
        <v>22951.731</v>
      </c>
      <c r="I14" s="37">
        <f>G14+H14</f>
        <v>3367055.731</v>
      </c>
    </row>
    <row r="15" spans="2:9" ht="12.75">
      <c r="B15" s="35" t="s">
        <v>507</v>
      </c>
      <c r="C15" s="36">
        <v>2047535</v>
      </c>
      <c r="D15" s="67">
        <f>(439000-4319000+3600000)/1000+('Sundurliðun viðauka nr.2'!M1775+'Sundurliðun viðauka nr.2'!M1776+'Sundurliðun viðauka nr.2'!M1777+'Sundurliðun viðauka nr.2'!M1778+'Sundurliðun viðauka nr.2'!M1779+'Sundurliðun viðauka nr.2'!M1780+'Sundurliðun viðauka nr.2'!M1781)/1000-'Sundurliðun viðauka nr.2'!M1776/1000*0</f>
        <v>33407.658</v>
      </c>
      <c r="E15" s="119">
        <f>C15+D15</f>
        <v>2080942.658</v>
      </c>
      <c r="G15" s="118">
        <f t="shared" si="1"/>
        <v>2047535</v>
      </c>
      <c r="H15" s="67">
        <f t="shared" si="1"/>
        <v>33407.658</v>
      </c>
      <c r="I15" s="119">
        <f>G15+H15</f>
        <v>2080942.658</v>
      </c>
    </row>
    <row r="16" spans="2:9" ht="12.75">
      <c r="B16" s="35" t="s">
        <v>508</v>
      </c>
      <c r="C16" s="36">
        <v>300670</v>
      </c>
      <c r="D16" s="67">
        <f>'Sundurliðun viðauka nr.2'!M1783/1000</f>
        <v>0</v>
      </c>
      <c r="E16" s="119">
        <f>C16+D16</f>
        <v>300670</v>
      </c>
      <c r="G16" s="118">
        <f t="shared" si="1"/>
        <v>300670</v>
      </c>
      <c r="H16" s="67">
        <f t="shared" si="1"/>
        <v>0</v>
      </c>
      <c r="I16" s="119">
        <f>G16+H16</f>
        <v>300670</v>
      </c>
    </row>
    <row r="17" spans="2:9" ht="12.75">
      <c r="B17" s="38"/>
      <c r="C17" s="39">
        <f>SUM(C14:C16)</f>
        <v>5692309</v>
      </c>
      <c r="D17" s="40">
        <f>SUM(D14:D16)</f>
        <v>56359.389</v>
      </c>
      <c r="E17" s="39">
        <f>SUM(E14:E16)</f>
        <v>5748668.389</v>
      </c>
      <c r="G17" s="39">
        <f>SUM(G14:G16)</f>
        <v>5692309</v>
      </c>
      <c r="H17" s="40">
        <f>SUM(H14:H16)</f>
        <v>56359.389</v>
      </c>
      <c r="I17" s="39">
        <f>SUM(I14:I16)</f>
        <v>5748668.389</v>
      </c>
    </row>
    <row r="18" spans="2:9" ht="12.75">
      <c r="B18" s="38"/>
      <c r="C18" s="36"/>
      <c r="D18" s="67"/>
      <c r="E18" s="34"/>
      <c r="G18" s="36"/>
      <c r="H18" s="1"/>
      <c r="I18" s="34"/>
    </row>
    <row r="19" spans="2:9" ht="12.75">
      <c r="B19" s="43" t="s">
        <v>509</v>
      </c>
      <c r="C19" s="68">
        <f>(C11-C17)/C11</f>
        <v>-0.007637769991372172</v>
      </c>
      <c r="D19" s="71" t="s">
        <v>1</v>
      </c>
      <c r="E19" s="68">
        <f>(E11-E17)/E11</f>
        <v>-0.017614362802837027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36">
        <v>0</v>
      </c>
      <c r="D20" s="67">
        <v>0</v>
      </c>
      <c r="E20" s="37">
        <f>C20+D20</f>
        <v>0</v>
      </c>
      <c r="G20" s="36">
        <f>C20</f>
        <v>0</v>
      </c>
      <c r="H20" s="67">
        <v>0</v>
      </c>
      <c r="I20" s="37">
        <f>G20+H20</f>
        <v>0</v>
      </c>
    </row>
    <row r="21" spans="2:9" ht="12.75">
      <c r="B21" s="35" t="s">
        <v>511</v>
      </c>
      <c r="C21" s="39">
        <f>C11-C17-C20</f>
        <v>-43147</v>
      </c>
      <c r="D21" s="40">
        <f>D11-D17-D20</f>
        <v>-56359.389</v>
      </c>
      <c r="E21" s="120">
        <f>E11-E17-E20</f>
        <v>-99506.38900000043</v>
      </c>
      <c r="G21" s="39">
        <f>G11-G17-G20</f>
        <v>-43147</v>
      </c>
      <c r="H21" s="40">
        <f>H11-H17-H20</f>
        <v>-56359.389</v>
      </c>
      <c r="I21" s="120">
        <f>I11-I17-I20</f>
        <v>-99506.38900000043</v>
      </c>
    </row>
    <row r="22" spans="2:9" ht="12.75">
      <c r="B22" s="45"/>
      <c r="C22" s="36"/>
      <c r="D22" s="67"/>
      <c r="E22" s="34"/>
      <c r="G22" s="36"/>
      <c r="H22" s="1"/>
      <c r="I22" s="34"/>
    </row>
    <row r="23" spans="2:9" ht="12.75">
      <c r="B23" s="33" t="s">
        <v>512</v>
      </c>
      <c r="C23" s="36" t="s">
        <v>1</v>
      </c>
      <c r="D23" s="67"/>
      <c r="E23" s="34"/>
      <c r="G23" s="36"/>
      <c r="H23" s="1"/>
      <c r="I23" s="34"/>
    </row>
    <row r="24" spans="2:9" ht="12.75">
      <c r="B24" s="35" t="s">
        <v>512</v>
      </c>
      <c r="C24" s="39">
        <v>241111</v>
      </c>
      <c r="D24" s="40">
        <f>-(-18597000)/1000-'Sundurliðun viðauka nr.2'!M1784/1000</f>
        <v>33730.051999999996</v>
      </c>
      <c r="E24" s="39">
        <f>C24+D24</f>
        <v>274841.052</v>
      </c>
      <c r="G24" s="39">
        <f>C24</f>
        <v>241111</v>
      </c>
      <c r="H24" s="40">
        <f>D24</f>
        <v>33730.051999999996</v>
      </c>
      <c r="I24" s="39">
        <f>G24+H24</f>
        <v>274841.052</v>
      </c>
    </row>
    <row r="25" spans="2:9" ht="12.75">
      <c r="B25" s="30"/>
      <c r="C25" s="36"/>
      <c r="D25" s="67"/>
      <c r="E25" s="34"/>
      <c r="G25" s="36"/>
      <c r="H25" s="1"/>
      <c r="I25" s="34"/>
    </row>
    <row r="26" spans="2:9" ht="12.75">
      <c r="B26" s="46" t="s">
        <v>513</v>
      </c>
      <c r="C26" s="36">
        <f>C11-C17+C24</f>
        <v>197964</v>
      </c>
      <c r="D26" s="44">
        <f>D11-D17+D24</f>
        <v>-22629.337000000007</v>
      </c>
      <c r="E26" s="118">
        <f>E11-E17+E24</f>
        <v>175334.6629999996</v>
      </c>
      <c r="G26" s="36"/>
      <c r="H26" s="44"/>
      <c r="I26" s="36"/>
    </row>
    <row r="27" spans="2:9" ht="12.75">
      <c r="B27" s="35" t="s">
        <v>514</v>
      </c>
      <c r="C27" s="36">
        <v>0</v>
      </c>
      <c r="D27" s="44">
        <v>0</v>
      </c>
      <c r="E27" s="36">
        <f>C27+D27</f>
        <v>0</v>
      </c>
      <c r="G27" s="36">
        <v>0</v>
      </c>
      <c r="H27" s="44">
        <f>D27</f>
        <v>0</v>
      </c>
      <c r="I27" s="36">
        <f>G27+H27</f>
        <v>0</v>
      </c>
    </row>
    <row r="28" spans="2:9" ht="12.75">
      <c r="B28" s="35" t="s">
        <v>515</v>
      </c>
      <c r="C28" s="47">
        <v>0</v>
      </c>
      <c r="D28" s="48">
        <v>0</v>
      </c>
      <c r="E28" s="121">
        <f>C28+D28</f>
        <v>0</v>
      </c>
      <c r="G28" s="47">
        <v>0</v>
      </c>
      <c r="H28" s="48">
        <f>D28</f>
        <v>0</v>
      </c>
      <c r="I28" s="121">
        <f>G28+H28</f>
        <v>0</v>
      </c>
    </row>
    <row r="29" spans="2:9" ht="12.75">
      <c r="B29" s="46"/>
      <c r="C29" s="36">
        <f>SUM(C27:C28)</f>
        <v>0</v>
      </c>
      <c r="D29" s="44">
        <f>SUM(D27:D28)</f>
        <v>0</v>
      </c>
      <c r="E29" s="118">
        <f>SUM(E27:E28)</f>
        <v>0</v>
      </c>
      <c r="G29" s="36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36">
        <f>C26+C29</f>
        <v>197964</v>
      </c>
      <c r="D30" s="44">
        <f>D26+D29</f>
        <v>-22629.337000000007</v>
      </c>
      <c r="E30" s="118">
        <f>E26+E29</f>
        <v>175334.6629999996</v>
      </c>
      <c r="G30" s="36">
        <f>G21+G24+G29</f>
        <v>197964</v>
      </c>
      <c r="H30" s="44">
        <f>H21+H24+H29</f>
        <v>-22629.337000000007</v>
      </c>
      <c r="I30" s="118">
        <f>I21+I24+I29</f>
        <v>175334.6629999996</v>
      </c>
    </row>
    <row r="31" spans="2:9" ht="12.75">
      <c r="B31" s="35" t="s">
        <v>517</v>
      </c>
      <c r="C31" s="47">
        <v>0</v>
      </c>
      <c r="D31" s="48">
        <f>-(16327000)/1000-'Sundurliðun viðauka nr.2'!M1785/1000</f>
        <v>-16327</v>
      </c>
      <c r="E31" s="47">
        <f>C31+D31</f>
        <v>-16327</v>
      </c>
      <c r="G31" s="47">
        <v>0</v>
      </c>
      <c r="H31" s="48">
        <v>0</v>
      </c>
      <c r="I31" s="47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52">
        <f>SUM(C30:C32)</f>
        <v>197964</v>
      </c>
      <c r="D33" s="124">
        <f>SUM(D30:D32)</f>
        <v>-38956.33700000001</v>
      </c>
      <c r="E33" s="123">
        <f>SUM(E30:E32)</f>
        <v>159007.6629999996</v>
      </c>
      <c r="G33" s="52">
        <f>SUM(G30:G32)</f>
        <v>197964</v>
      </c>
      <c r="H33" s="124">
        <f>SUM(H30:H32)</f>
        <v>-22629.337000000007</v>
      </c>
      <c r="I33" s="123">
        <f>SUM(I30:I32)</f>
        <v>175334.6629999996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10" ht="30">
      <c r="B40" s="53"/>
      <c r="C40" s="22" t="s">
        <v>493</v>
      </c>
      <c r="D40" s="23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  <c r="J40" s="155" t="s">
        <v>493</v>
      </c>
    </row>
    <row r="41" spans="3:10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  <c r="J41" s="156" t="s">
        <v>496</v>
      </c>
    </row>
    <row r="42" spans="2:10" ht="20.25" customHeight="1">
      <c r="B42" s="27" t="s">
        <v>519</v>
      </c>
      <c r="C42" s="28" t="s">
        <v>953</v>
      </c>
      <c r="D42" s="29" t="s">
        <v>953</v>
      </c>
      <c r="E42" s="28" t="s">
        <v>953</v>
      </c>
      <c r="G42" s="28" t="s">
        <v>498</v>
      </c>
      <c r="H42" s="29" t="s">
        <v>498</v>
      </c>
      <c r="I42" s="28" t="s">
        <v>498</v>
      </c>
      <c r="J42" s="157" t="s">
        <v>1485</v>
      </c>
    </row>
    <row r="43" spans="2:10" ht="15">
      <c r="B43" s="30" t="s">
        <v>520</v>
      </c>
      <c r="C43" s="31" t="s">
        <v>500</v>
      </c>
      <c r="D43" s="32" t="s">
        <v>1595</v>
      </c>
      <c r="E43" s="31" t="s">
        <v>501</v>
      </c>
      <c r="G43" s="31" t="s">
        <v>500</v>
      </c>
      <c r="H43" s="117" t="s">
        <v>1486</v>
      </c>
      <c r="I43" s="31" t="s">
        <v>501</v>
      </c>
      <c r="J43" s="158" t="s">
        <v>500</v>
      </c>
    </row>
    <row r="44" spans="2:10" ht="12.75">
      <c r="B44" s="33" t="s">
        <v>521</v>
      </c>
      <c r="C44" s="55"/>
      <c r="E44" s="21"/>
      <c r="G44" s="55"/>
      <c r="H44" s="1"/>
      <c r="I44" s="21"/>
      <c r="J44" s="162"/>
    </row>
    <row r="45" spans="2:10" ht="12.75">
      <c r="B45" s="35" t="s">
        <v>522</v>
      </c>
      <c r="C45" s="36">
        <f>C33</f>
        <v>197964</v>
      </c>
      <c r="D45" s="44">
        <f>D33</f>
        <v>-38956.33700000001</v>
      </c>
      <c r="E45" s="118">
        <f>E33</f>
        <v>159007.6629999996</v>
      </c>
      <c r="G45" s="36">
        <f>G33</f>
        <v>197964</v>
      </c>
      <c r="H45" s="44">
        <f>H33</f>
        <v>-22629.337000000007</v>
      </c>
      <c r="I45" s="118">
        <f>G45+H45</f>
        <v>175334.663</v>
      </c>
      <c r="J45" s="162"/>
    </row>
    <row r="46" spans="2:10" ht="12.75">
      <c r="B46" s="35" t="s">
        <v>523</v>
      </c>
      <c r="C46" s="36">
        <f>C20</f>
        <v>0</v>
      </c>
      <c r="D46" s="44">
        <f>D20</f>
        <v>0</v>
      </c>
      <c r="E46" s="118">
        <f>E20</f>
        <v>0</v>
      </c>
      <c r="G46" s="36">
        <f>G20</f>
        <v>0</v>
      </c>
      <c r="H46" s="44">
        <f>H20</f>
        <v>0</v>
      </c>
      <c r="I46" s="118">
        <f aca="true" t="shared" si="2" ref="I46:I51">G46+H46</f>
        <v>0</v>
      </c>
      <c r="J46" s="162"/>
    </row>
    <row r="47" spans="2:10" ht="12.75">
      <c r="B47" s="35" t="s">
        <v>524</v>
      </c>
      <c r="C47" s="36">
        <v>-73720</v>
      </c>
      <c r="D47" s="1">
        <v>0</v>
      </c>
      <c r="E47" s="56">
        <f>C47+D47</f>
        <v>-73720</v>
      </c>
      <c r="G47" s="36">
        <f aca="true" t="shared" si="3" ref="G47:H49">C47</f>
        <v>-73720</v>
      </c>
      <c r="H47" s="67">
        <f t="shared" si="3"/>
        <v>0</v>
      </c>
      <c r="I47" s="118">
        <f t="shared" si="2"/>
        <v>-73720</v>
      </c>
      <c r="J47" s="162"/>
    </row>
    <row r="48" spans="2:10" ht="12.75">
      <c r="B48" s="35" t="s">
        <v>525</v>
      </c>
      <c r="C48" s="36">
        <v>0</v>
      </c>
      <c r="D48" s="1">
        <v>0</v>
      </c>
      <c r="E48" s="125">
        <f>C48+D48</f>
        <v>0</v>
      </c>
      <c r="G48" s="36">
        <f t="shared" si="3"/>
        <v>0</v>
      </c>
      <c r="H48" s="67">
        <f t="shared" si="3"/>
        <v>0</v>
      </c>
      <c r="I48" s="118">
        <f t="shared" si="2"/>
        <v>0</v>
      </c>
      <c r="J48" s="162"/>
    </row>
    <row r="49" spans="2:10" ht="12.75">
      <c r="B49" s="35" t="s">
        <v>526</v>
      </c>
      <c r="C49" s="36">
        <v>0</v>
      </c>
      <c r="D49" s="1">
        <v>0</v>
      </c>
      <c r="E49" s="125">
        <f>C49+D49</f>
        <v>0</v>
      </c>
      <c r="G49" s="118">
        <f t="shared" si="3"/>
        <v>0</v>
      </c>
      <c r="H49" s="67">
        <f t="shared" si="3"/>
        <v>0</v>
      </c>
      <c r="I49" s="118">
        <f t="shared" si="2"/>
        <v>0</v>
      </c>
      <c r="J49" s="162"/>
    </row>
    <row r="50" spans="2:10" ht="12.75">
      <c r="B50" s="35" t="s">
        <v>527</v>
      </c>
      <c r="C50" s="36">
        <v>298871</v>
      </c>
      <c r="D50" s="44">
        <f>D16</f>
        <v>0</v>
      </c>
      <c r="E50" s="125">
        <f>C50+D50</f>
        <v>298871</v>
      </c>
      <c r="G50" s="118">
        <f>C50</f>
        <v>298871</v>
      </c>
      <c r="H50" s="44">
        <f>H16</f>
        <v>0</v>
      </c>
      <c r="I50" s="118">
        <f t="shared" si="2"/>
        <v>298871</v>
      </c>
      <c r="J50" s="162"/>
    </row>
    <row r="51" spans="2:10" ht="12.75">
      <c r="B51" s="35" t="s">
        <v>528</v>
      </c>
      <c r="C51" s="36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18">
        <f t="shared" si="2"/>
        <v>0</v>
      </c>
      <c r="J51" s="162"/>
    </row>
    <row r="52" spans="2:10" ht="12.75">
      <c r="B52" s="57" t="s">
        <v>529</v>
      </c>
      <c r="C52" s="39">
        <f>SUM(C45:C51)</f>
        <v>423115</v>
      </c>
      <c r="D52" s="40">
        <f>SUM(D45:D51)</f>
        <v>-38956.33700000001</v>
      </c>
      <c r="E52" s="120">
        <f>SUM(E45:E51)</f>
        <v>384158.6629999996</v>
      </c>
      <c r="G52" s="39">
        <f>SUM(G45:G51)</f>
        <v>423115</v>
      </c>
      <c r="H52" s="40">
        <f>SUM(H45:H51)</f>
        <v>-22629.337000000007</v>
      </c>
      <c r="I52" s="120">
        <f>SUM(I45:I51)</f>
        <v>400485.663</v>
      </c>
      <c r="J52" s="162"/>
    </row>
    <row r="53" spans="2:10" ht="12.75">
      <c r="B53" s="58" t="s">
        <v>530</v>
      </c>
      <c r="C53" s="36"/>
      <c r="D53" s="1"/>
      <c r="E53" s="21"/>
      <c r="G53" s="36"/>
      <c r="H53" s="1"/>
      <c r="I53" s="21"/>
      <c r="J53" s="162"/>
    </row>
    <row r="54" spans="2:10" ht="12.75">
      <c r="B54" s="35" t="s">
        <v>531</v>
      </c>
      <c r="C54" s="36">
        <v>-29</v>
      </c>
      <c r="D54" s="1">
        <v>0</v>
      </c>
      <c r="E54" s="56">
        <f>C54+D54</f>
        <v>-29</v>
      </c>
      <c r="G54" s="36">
        <f aca="true" t="shared" si="4" ref="G54:H57">C54</f>
        <v>-29</v>
      </c>
      <c r="H54" s="1">
        <f t="shared" si="4"/>
        <v>0</v>
      </c>
      <c r="I54" s="56">
        <f>G54+H54</f>
        <v>-29</v>
      </c>
      <c r="J54" s="162"/>
    </row>
    <row r="55" spans="2:10" ht="12.75">
      <c r="B55" s="35" t="s">
        <v>532</v>
      </c>
      <c r="C55" s="36">
        <v>-13428</v>
      </c>
      <c r="D55" s="2">
        <v>0</v>
      </c>
      <c r="E55" s="125">
        <f>C55+D55</f>
        <v>-13428</v>
      </c>
      <c r="G55" s="118">
        <f t="shared" si="4"/>
        <v>-13428</v>
      </c>
      <c r="H55" s="1">
        <f t="shared" si="4"/>
        <v>0</v>
      </c>
      <c r="I55" s="125">
        <f>G55+H55</f>
        <v>-13428</v>
      </c>
      <c r="J55" s="162"/>
    </row>
    <row r="56" spans="2:10" ht="12.75">
      <c r="B56" s="35" t="s">
        <v>533</v>
      </c>
      <c r="C56" s="36">
        <v>-2310</v>
      </c>
      <c r="D56" s="2">
        <v>0</v>
      </c>
      <c r="E56" s="125">
        <f>C56+D56</f>
        <v>-2310</v>
      </c>
      <c r="G56" s="118">
        <f t="shared" si="4"/>
        <v>-2310</v>
      </c>
      <c r="H56" s="1">
        <f t="shared" si="4"/>
        <v>0</v>
      </c>
      <c r="I56" s="125">
        <f>G56+H56</f>
        <v>-2310</v>
      </c>
      <c r="J56" s="162"/>
    </row>
    <row r="57" spans="2:10" ht="12.75">
      <c r="B57" s="35" t="s">
        <v>534</v>
      </c>
      <c r="C57" s="121">
        <v>15546</v>
      </c>
      <c r="D57" s="181">
        <v>0</v>
      </c>
      <c r="E57" s="147">
        <f>C57+D57</f>
        <v>15546</v>
      </c>
      <c r="G57" s="121">
        <f t="shared" si="4"/>
        <v>15546</v>
      </c>
      <c r="H57" s="126">
        <f t="shared" si="4"/>
        <v>0</v>
      </c>
      <c r="I57" s="147">
        <f>G57+H57</f>
        <v>15546</v>
      </c>
      <c r="J57" s="162"/>
    </row>
    <row r="58" spans="2:10" ht="12.75">
      <c r="B58" s="30" t="s">
        <v>530</v>
      </c>
      <c r="C58" s="47">
        <f>SUM(C54:C57)</f>
        <v>-221</v>
      </c>
      <c r="D58" s="48">
        <f>SUM(D54:D57)</f>
        <v>0</v>
      </c>
      <c r="E58" s="121">
        <f>SUM(E54:E57)</f>
        <v>-221</v>
      </c>
      <c r="F58" s="48" t="s">
        <v>1</v>
      </c>
      <c r="G58" s="121">
        <f>SUM(G54:G57)</f>
        <v>-221</v>
      </c>
      <c r="H58" s="48">
        <f>SUM(H54:H57)</f>
        <v>0</v>
      </c>
      <c r="I58" s="121">
        <f>SUM(I54:I57)</f>
        <v>-221</v>
      </c>
      <c r="J58" s="162"/>
    </row>
    <row r="59" spans="2:10" ht="13.5" thickBot="1">
      <c r="B59" s="57" t="s">
        <v>536</v>
      </c>
      <c r="C59" s="52">
        <f>C52+C58</f>
        <v>422894</v>
      </c>
      <c r="D59" s="124">
        <f>D52+D58</f>
        <v>-38956.33700000001</v>
      </c>
      <c r="E59" s="123">
        <f>E52+E58</f>
        <v>383937.6629999996</v>
      </c>
      <c r="G59" s="52">
        <f>G52+G58</f>
        <v>422894</v>
      </c>
      <c r="H59" s="124">
        <f>H52+H58</f>
        <v>-22629.337000000007</v>
      </c>
      <c r="I59" s="123">
        <f>I52+I58</f>
        <v>400264.663</v>
      </c>
      <c r="J59" s="162"/>
    </row>
    <row r="60" spans="2:10" ht="13.5" thickTop="1">
      <c r="B60" s="30"/>
      <c r="C60" s="59"/>
      <c r="D60" s="1"/>
      <c r="E60" s="21"/>
      <c r="G60" s="59"/>
      <c r="H60" s="1"/>
      <c r="I60" s="21"/>
      <c r="J60" s="162"/>
    </row>
    <row r="61" spans="2:10" ht="12.75">
      <c r="B61" s="33" t="s">
        <v>537</v>
      </c>
      <c r="C61" s="60"/>
      <c r="D61" s="1"/>
      <c r="E61" s="21"/>
      <c r="G61" s="60"/>
      <c r="H61" s="1"/>
      <c r="I61" s="21"/>
      <c r="J61" s="162"/>
    </row>
    <row r="62" spans="2:10" ht="12.75">
      <c r="B62" s="35" t="s">
        <v>538</v>
      </c>
      <c r="C62" s="36">
        <v>0</v>
      </c>
      <c r="D62" s="67">
        <f>-'Sundurliðun viðauka nr.2'!M1798/1000*0</f>
        <v>0</v>
      </c>
      <c r="E62" s="56">
        <f aca="true" t="shared" si="5" ref="E62:E67">C62+D62</f>
        <v>0</v>
      </c>
      <c r="G62" s="36">
        <f aca="true" t="shared" si="6" ref="G62:G67">C62</f>
        <v>0</v>
      </c>
      <c r="H62" s="67">
        <f aca="true" t="shared" si="7" ref="H62:H67">D62</f>
        <v>0</v>
      </c>
      <c r="I62" s="56">
        <f aca="true" t="shared" si="8" ref="I62:I67">G62+H62</f>
        <v>0</v>
      </c>
      <c r="J62" s="162"/>
    </row>
    <row r="63" spans="2:10" ht="12.75" outlineLevel="1">
      <c r="B63" s="35" t="s">
        <v>539</v>
      </c>
      <c r="C63" s="36">
        <v>0</v>
      </c>
      <c r="D63" s="67">
        <v>0</v>
      </c>
      <c r="E63" s="125">
        <f t="shared" si="5"/>
        <v>0</v>
      </c>
      <c r="G63" s="118">
        <f t="shared" si="6"/>
        <v>0</v>
      </c>
      <c r="H63" s="67">
        <f t="shared" si="7"/>
        <v>0</v>
      </c>
      <c r="I63" s="125">
        <f t="shared" si="8"/>
        <v>0</v>
      </c>
      <c r="J63" s="162"/>
    </row>
    <row r="64" spans="2:10" ht="12.75" outlineLevel="1">
      <c r="B64" s="35" t="s">
        <v>540</v>
      </c>
      <c r="C64" s="36">
        <v>0</v>
      </c>
      <c r="D64" s="67">
        <v>0</v>
      </c>
      <c r="E64" s="125">
        <f t="shared" si="5"/>
        <v>0</v>
      </c>
      <c r="G64" s="118">
        <f t="shared" si="6"/>
        <v>0</v>
      </c>
      <c r="H64" s="67">
        <f t="shared" si="7"/>
        <v>0</v>
      </c>
      <c r="I64" s="125">
        <f t="shared" si="8"/>
        <v>0</v>
      </c>
      <c r="J64" s="162"/>
    </row>
    <row r="65" spans="2:10" ht="12.75">
      <c r="B65" s="35" t="s">
        <v>541</v>
      </c>
      <c r="C65" s="36">
        <v>56240</v>
      </c>
      <c r="D65" s="67">
        <v>0</v>
      </c>
      <c r="E65" s="125">
        <f t="shared" si="5"/>
        <v>56240</v>
      </c>
      <c r="G65" s="118">
        <f t="shared" si="6"/>
        <v>56240</v>
      </c>
      <c r="H65" s="67">
        <f t="shared" si="7"/>
        <v>0</v>
      </c>
      <c r="I65" s="125">
        <f t="shared" si="8"/>
        <v>56240</v>
      </c>
      <c r="J65" s="162"/>
    </row>
    <row r="66" spans="2:10" ht="12.75" outlineLevel="1">
      <c r="B66" s="35" t="s">
        <v>542</v>
      </c>
      <c r="C66" s="36">
        <v>-355532</v>
      </c>
      <c r="D66" s="67">
        <v>0</v>
      </c>
      <c r="E66" s="125">
        <f t="shared" si="5"/>
        <v>-355532</v>
      </c>
      <c r="G66" s="118">
        <f t="shared" si="6"/>
        <v>-355532</v>
      </c>
      <c r="H66" s="67">
        <f t="shared" si="7"/>
        <v>0</v>
      </c>
      <c r="I66" s="125">
        <f t="shared" si="8"/>
        <v>-355532</v>
      </c>
      <c r="J66" s="162"/>
    </row>
    <row r="67" spans="2:10" ht="12.75" outlineLevel="1">
      <c r="B67" s="35" t="s">
        <v>528</v>
      </c>
      <c r="C67" s="36">
        <v>0</v>
      </c>
      <c r="D67" s="44">
        <v>0</v>
      </c>
      <c r="E67" s="125">
        <f t="shared" si="5"/>
        <v>0</v>
      </c>
      <c r="G67" s="118">
        <f t="shared" si="6"/>
        <v>0</v>
      </c>
      <c r="H67" s="67">
        <f t="shared" si="7"/>
        <v>0</v>
      </c>
      <c r="I67" s="125">
        <f t="shared" si="8"/>
        <v>0</v>
      </c>
      <c r="J67" s="162"/>
    </row>
    <row r="68" spans="2:10" ht="12.75">
      <c r="B68" s="30" t="s">
        <v>537</v>
      </c>
      <c r="C68" s="39">
        <f>SUM(C62:C67)</f>
        <v>-299292</v>
      </c>
      <c r="D68" s="40">
        <f>SUM(D62:D67)</f>
        <v>0</v>
      </c>
      <c r="E68" s="120">
        <f>SUM(E62:E67)</f>
        <v>-299292</v>
      </c>
      <c r="G68" s="39">
        <f>SUM(G62:G67)</f>
        <v>-299292</v>
      </c>
      <c r="H68" s="40">
        <f>SUM(H62:H67)</f>
        <v>0</v>
      </c>
      <c r="I68" s="120">
        <f>SUM(I62:I67)</f>
        <v>-299292</v>
      </c>
      <c r="J68" s="162"/>
    </row>
    <row r="69" spans="2:10" ht="12.75">
      <c r="B69" s="41"/>
      <c r="C69" s="36"/>
      <c r="D69" s="67"/>
      <c r="E69" s="21"/>
      <c r="G69" s="36"/>
      <c r="H69" s="1"/>
      <c r="I69" s="21"/>
      <c r="J69" s="162"/>
    </row>
    <row r="70" spans="2:10" ht="12.75">
      <c r="B70" s="33" t="s">
        <v>543</v>
      </c>
      <c r="C70" s="60"/>
      <c r="D70" s="67"/>
      <c r="E70" s="21"/>
      <c r="G70" s="60"/>
      <c r="H70" s="1"/>
      <c r="I70" s="21"/>
      <c r="J70" s="162"/>
    </row>
    <row r="71" spans="2:10" ht="12.75">
      <c r="B71" s="35" t="s">
        <v>544</v>
      </c>
      <c r="C71" s="36">
        <v>0</v>
      </c>
      <c r="D71" s="67">
        <v>0</v>
      </c>
      <c r="E71" s="56">
        <f>C71+D71</f>
        <v>0</v>
      </c>
      <c r="G71" s="36">
        <f>C71</f>
        <v>0</v>
      </c>
      <c r="H71" s="67">
        <f>D71</f>
        <v>0</v>
      </c>
      <c r="I71" s="56">
        <f>G71+H71</f>
        <v>0</v>
      </c>
      <c r="J71" s="162"/>
    </row>
    <row r="72" spans="2:10" ht="12.75">
      <c r="B72" s="35" t="s">
        <v>545</v>
      </c>
      <c r="C72" s="36">
        <v>-245373</v>
      </c>
      <c r="D72" s="67">
        <f>-'rekst - sjóðstr - efnah - eigna'!D73-'rekst - sjóðstr - efnah - faste'!D73-'rekst - sjóðstr - efnah - Byggð'!D73-'rekst - sjóðstr - efnah - Gáma'!D73</f>
        <v>-109635</v>
      </c>
      <c r="E72" s="125">
        <f aca="true" t="shared" si="9" ref="E72:E80">C72+D72</f>
        <v>-355008</v>
      </c>
      <c r="G72" s="118">
        <f aca="true" t="shared" si="10" ref="G72:G80">C72</f>
        <v>-245373</v>
      </c>
      <c r="H72" s="67">
        <f aca="true" t="shared" si="11" ref="H72:H80">D72</f>
        <v>-109635</v>
      </c>
      <c r="I72" s="125">
        <f aca="true" t="shared" si="12" ref="I72:I80">G72+H72</f>
        <v>-355008</v>
      </c>
      <c r="J72" s="162"/>
    </row>
    <row r="73" spans="2:10" ht="12.75">
      <c r="B73" s="35" t="s">
        <v>546</v>
      </c>
      <c r="C73" s="36">
        <v>0</v>
      </c>
      <c r="D73" s="67">
        <v>0</v>
      </c>
      <c r="E73" s="125">
        <f t="shared" si="9"/>
        <v>0</v>
      </c>
      <c r="G73" s="118">
        <f t="shared" si="10"/>
        <v>0</v>
      </c>
      <c r="H73" s="67">
        <f t="shared" si="11"/>
        <v>0</v>
      </c>
      <c r="I73" s="125">
        <f t="shared" si="12"/>
        <v>0</v>
      </c>
      <c r="J73" s="162"/>
    </row>
    <row r="74" spans="2:10" ht="12.75">
      <c r="B74" s="35" t="s">
        <v>954</v>
      </c>
      <c r="C74" s="118">
        <v>-85618</v>
      </c>
      <c r="D74" s="67"/>
      <c r="E74" s="125">
        <f t="shared" si="9"/>
        <v>-85618</v>
      </c>
      <c r="G74" s="118">
        <f t="shared" si="10"/>
        <v>-85618</v>
      </c>
      <c r="H74" s="67"/>
      <c r="I74" s="125">
        <f t="shared" si="12"/>
        <v>-85618</v>
      </c>
      <c r="J74" s="162"/>
    </row>
    <row r="75" spans="2:10" ht="12.75">
      <c r="B75" s="35" t="s">
        <v>955</v>
      </c>
      <c r="C75" s="118">
        <v>-74081</v>
      </c>
      <c r="D75" s="67"/>
      <c r="E75" s="125">
        <f t="shared" si="9"/>
        <v>-74081</v>
      </c>
      <c r="G75" s="118">
        <f t="shared" si="10"/>
        <v>-74081</v>
      </c>
      <c r="H75" s="67"/>
      <c r="I75" s="125">
        <f t="shared" si="12"/>
        <v>-74081</v>
      </c>
      <c r="J75" s="162"/>
    </row>
    <row r="76" spans="2:10" ht="12.75">
      <c r="B76" s="35" t="s">
        <v>547</v>
      </c>
      <c r="C76" s="36">
        <v>0</v>
      </c>
      <c r="D76" s="67">
        <v>0</v>
      </c>
      <c r="E76" s="125">
        <f t="shared" si="9"/>
        <v>0</v>
      </c>
      <c r="G76" s="118">
        <f t="shared" si="10"/>
        <v>0</v>
      </c>
      <c r="H76" s="67">
        <f t="shared" si="11"/>
        <v>0</v>
      </c>
      <c r="I76" s="125">
        <f t="shared" si="12"/>
        <v>0</v>
      </c>
      <c r="J76" s="162"/>
    </row>
    <row r="77" spans="2:10" ht="12.75">
      <c r="B77" s="35" t="s">
        <v>548</v>
      </c>
      <c r="C77" s="36">
        <v>0</v>
      </c>
      <c r="D77" s="67">
        <v>0</v>
      </c>
      <c r="E77" s="125">
        <f t="shared" si="9"/>
        <v>0</v>
      </c>
      <c r="G77" s="118">
        <f t="shared" si="10"/>
        <v>0</v>
      </c>
      <c r="H77" s="67">
        <f t="shared" si="11"/>
        <v>0</v>
      </c>
      <c r="I77" s="125">
        <f t="shared" si="12"/>
        <v>0</v>
      </c>
      <c r="J77" s="162"/>
    </row>
    <row r="78" spans="2:10" ht="12.75">
      <c r="B78" s="35" t="s">
        <v>549</v>
      </c>
      <c r="C78" s="36">
        <v>0</v>
      </c>
      <c r="D78" s="67">
        <v>0</v>
      </c>
      <c r="E78" s="125">
        <f t="shared" si="9"/>
        <v>0</v>
      </c>
      <c r="G78" s="118">
        <f t="shared" si="10"/>
        <v>0</v>
      </c>
      <c r="H78" s="67">
        <f t="shared" si="11"/>
        <v>0</v>
      </c>
      <c r="I78" s="125">
        <f t="shared" si="12"/>
        <v>0</v>
      </c>
      <c r="J78" s="162"/>
    </row>
    <row r="79" spans="2:10" ht="12.75">
      <c r="B79" s="35" t="s">
        <v>550</v>
      </c>
      <c r="C79" s="36">
        <v>0</v>
      </c>
      <c r="D79" s="67">
        <v>0</v>
      </c>
      <c r="E79" s="125">
        <f t="shared" si="9"/>
        <v>0</v>
      </c>
      <c r="G79" s="118">
        <f t="shared" si="10"/>
        <v>0</v>
      </c>
      <c r="H79" s="67">
        <f t="shared" si="11"/>
        <v>0</v>
      </c>
      <c r="I79" s="125">
        <f t="shared" si="12"/>
        <v>0</v>
      </c>
      <c r="J79" s="162"/>
    </row>
    <row r="80" spans="2:10" ht="12.75">
      <c r="B80" s="35" t="s">
        <v>528</v>
      </c>
      <c r="C80" s="36">
        <v>0</v>
      </c>
      <c r="D80" s="67">
        <v>0</v>
      </c>
      <c r="E80" s="125">
        <f t="shared" si="9"/>
        <v>0</v>
      </c>
      <c r="G80" s="118">
        <f t="shared" si="10"/>
        <v>0</v>
      </c>
      <c r="H80" s="67">
        <f t="shared" si="11"/>
        <v>0</v>
      </c>
      <c r="I80" s="125">
        <f t="shared" si="12"/>
        <v>0</v>
      </c>
      <c r="J80" s="162"/>
    </row>
    <row r="81" spans="2:10" ht="12.75">
      <c r="B81" s="30" t="s">
        <v>543</v>
      </c>
      <c r="C81" s="39">
        <f>SUM(C71:C80)</f>
        <v>-405072</v>
      </c>
      <c r="D81" s="40">
        <f>SUM(D71:D80)</f>
        <v>-109635</v>
      </c>
      <c r="E81" s="120">
        <f>SUM(E71:E80)</f>
        <v>-514707</v>
      </c>
      <c r="G81" s="39">
        <f>SUM(G71:G80)</f>
        <v>-405072</v>
      </c>
      <c r="H81" s="40">
        <f>SUM(H71:H80)</f>
        <v>-109635</v>
      </c>
      <c r="I81" s="120">
        <f>SUM(I71:I80)</f>
        <v>-514707</v>
      </c>
      <c r="J81" s="162"/>
    </row>
    <row r="82" spans="2:10" ht="12.75">
      <c r="B82" s="30"/>
      <c r="C82" s="36"/>
      <c r="D82" s="67"/>
      <c r="E82" s="21"/>
      <c r="G82" s="36"/>
      <c r="H82" s="1"/>
      <c r="I82" s="21"/>
      <c r="J82" s="162"/>
    </row>
    <row r="83" spans="2:10" ht="12.75">
      <c r="B83" s="43" t="s">
        <v>551</v>
      </c>
      <c r="C83" s="36">
        <f>C59+C68+C81</f>
        <v>-281470</v>
      </c>
      <c r="D83" s="44">
        <f>D59+D68+D81</f>
        <v>-148591.337</v>
      </c>
      <c r="E83" s="118">
        <f>E59+E68+E81</f>
        <v>-430061.3370000004</v>
      </c>
      <c r="G83" s="36">
        <f>G59+G68+G81</f>
        <v>-281470</v>
      </c>
      <c r="H83" s="44">
        <f>H59+H68+H81</f>
        <v>-132264.337</v>
      </c>
      <c r="I83" s="118">
        <f>I59+I68+I81</f>
        <v>-413734.337</v>
      </c>
      <c r="J83" s="162"/>
    </row>
    <row r="84" spans="2:10" ht="12.75">
      <c r="B84" s="43" t="s">
        <v>552</v>
      </c>
      <c r="C84" s="47">
        <v>697115</v>
      </c>
      <c r="D84" s="48">
        <v>0</v>
      </c>
      <c r="E84" s="47">
        <f>C84+D84</f>
        <v>697115</v>
      </c>
      <c r="G84" s="47">
        <f>C84+J84</f>
        <v>999258</v>
      </c>
      <c r="H84" s="48">
        <v>0</v>
      </c>
      <c r="I84" s="47">
        <f>G84+H84</f>
        <v>999258</v>
      </c>
      <c r="J84" s="159">
        <f>999258-C84</f>
        <v>302143</v>
      </c>
    </row>
    <row r="85" spans="2:10" ht="13.5" thickBot="1">
      <c r="B85" s="43" t="s">
        <v>553</v>
      </c>
      <c r="C85" s="52">
        <f>SUM(C83:C84)</f>
        <v>415645</v>
      </c>
      <c r="D85" s="124">
        <f>SUM(D83:D84)</f>
        <v>-148591.337</v>
      </c>
      <c r="E85" s="52">
        <f>SUM(E83:E84)</f>
        <v>267053.6629999996</v>
      </c>
      <c r="G85" s="52">
        <f>SUM(G83:G84)</f>
        <v>717788</v>
      </c>
      <c r="H85" s="124">
        <f>SUM(H83:H84)</f>
        <v>-132264.337</v>
      </c>
      <c r="I85" s="123">
        <f>SUM(I83:I84)</f>
        <v>585523.663</v>
      </c>
      <c r="J85" s="162"/>
    </row>
    <row r="86" spans="2:8" ht="13.5" thickTop="1">
      <c r="B86" s="53"/>
      <c r="C86" s="61"/>
      <c r="D86" s="1"/>
      <c r="G86" s="61"/>
      <c r="H86" s="1"/>
    </row>
    <row r="87" spans="2:8" ht="12.75">
      <c r="B87" s="53"/>
      <c r="C87" s="61"/>
      <c r="D87" s="1"/>
      <c r="G87" s="61"/>
      <c r="H87" s="1"/>
    </row>
    <row r="88" s="1" customFormat="1" ht="12.75">
      <c r="B88" s="72"/>
    </row>
    <row r="89" spans="3:10" ht="30">
      <c r="C89" s="22" t="s">
        <v>493</v>
      </c>
      <c r="D89" s="115" t="s">
        <v>494</v>
      </c>
      <c r="E89" s="22" t="s">
        <v>493</v>
      </c>
      <c r="G89" s="22" t="s">
        <v>493</v>
      </c>
      <c r="H89" s="115" t="s">
        <v>495</v>
      </c>
      <c r="I89" s="22" t="s">
        <v>493</v>
      </c>
      <c r="J89" s="155" t="s">
        <v>493</v>
      </c>
    </row>
    <row r="90" spans="2:10" ht="18">
      <c r="B90" s="27" t="s">
        <v>554</v>
      </c>
      <c r="C90" s="24" t="s">
        <v>496</v>
      </c>
      <c r="D90" s="54" t="s">
        <v>496</v>
      </c>
      <c r="E90" s="24" t="s">
        <v>496</v>
      </c>
      <c r="G90" s="24" t="s">
        <v>496</v>
      </c>
      <c r="H90" s="54" t="s">
        <v>496</v>
      </c>
      <c r="I90" s="24" t="s">
        <v>496</v>
      </c>
      <c r="J90" s="156" t="s">
        <v>496</v>
      </c>
    </row>
    <row r="91" spans="2:10" ht="26.25" customHeight="1">
      <c r="B91" s="30" t="s">
        <v>520</v>
      </c>
      <c r="C91" s="28" t="s">
        <v>953</v>
      </c>
      <c r="D91" s="29" t="s">
        <v>953</v>
      </c>
      <c r="E91" s="28" t="s">
        <v>953</v>
      </c>
      <c r="G91" s="28" t="s">
        <v>953</v>
      </c>
      <c r="H91" s="29" t="s">
        <v>953</v>
      </c>
      <c r="I91" s="28" t="s">
        <v>953</v>
      </c>
      <c r="J91" s="157" t="s">
        <v>1485</v>
      </c>
    </row>
    <row r="92" spans="2:10" ht="15">
      <c r="B92" s="33" t="s">
        <v>555</v>
      </c>
      <c r="C92" s="31" t="s">
        <v>500</v>
      </c>
      <c r="D92" s="117" t="s">
        <v>1594</v>
      </c>
      <c r="E92" s="31" t="s">
        <v>501</v>
      </c>
      <c r="G92" s="31" t="s">
        <v>500</v>
      </c>
      <c r="H92" s="117" t="s">
        <v>1486</v>
      </c>
      <c r="I92" s="31" t="s">
        <v>501</v>
      </c>
      <c r="J92" s="158" t="s">
        <v>500</v>
      </c>
    </row>
    <row r="93" spans="2:10" ht="12.75">
      <c r="B93" s="62" t="s">
        <v>556</v>
      </c>
      <c r="C93" s="63"/>
      <c r="D93" s="1"/>
      <c r="E93" s="21"/>
      <c r="G93" s="63"/>
      <c r="H93" s="1"/>
      <c r="I93" s="21"/>
      <c r="J93" s="162"/>
    </row>
    <row r="94" spans="2:10" ht="12.75">
      <c r="B94" s="62" t="s">
        <v>557</v>
      </c>
      <c r="C94" s="63"/>
      <c r="D94" s="1"/>
      <c r="E94" s="21"/>
      <c r="G94" s="63"/>
      <c r="H94" s="1"/>
      <c r="I94" s="21"/>
      <c r="J94" s="162"/>
    </row>
    <row r="95" spans="2:10" ht="12.75">
      <c r="B95" s="35" t="s">
        <v>558</v>
      </c>
      <c r="C95" s="36">
        <v>0</v>
      </c>
      <c r="D95" s="67">
        <f>'Sundurliðun viðauka nr.2'!H1575/1000*0</f>
        <v>0</v>
      </c>
      <c r="E95" s="56">
        <f>C95+D95</f>
        <v>0</v>
      </c>
      <c r="G95" s="36">
        <f>C95+J95</f>
        <v>0</v>
      </c>
      <c r="H95" s="67">
        <f>D95</f>
        <v>0</v>
      </c>
      <c r="I95" s="56">
        <f>G95+H95</f>
        <v>0</v>
      </c>
      <c r="J95" s="159">
        <v>0</v>
      </c>
    </row>
    <row r="96" spans="2:10" ht="12.75">
      <c r="B96" s="35" t="s">
        <v>559</v>
      </c>
      <c r="C96" s="36">
        <v>0</v>
      </c>
      <c r="D96" s="67"/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12.75">
      <c r="B97" s="35" t="s">
        <v>560</v>
      </c>
      <c r="C97" s="36">
        <v>0</v>
      </c>
      <c r="D97" s="67">
        <f>0</f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12.75">
      <c r="B98" s="35" t="s">
        <v>561</v>
      </c>
      <c r="C98" s="36">
        <f>0+J98</f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12.75">
      <c r="B99" s="35"/>
      <c r="C99" s="39">
        <f>SUM(C95:C98)</f>
        <v>0</v>
      </c>
      <c r="D99" s="40">
        <f>SUM(D95:D98)</f>
        <v>0</v>
      </c>
      <c r="E99" s="39">
        <f>SUM(E95:E98)</f>
        <v>0</v>
      </c>
      <c r="G99" s="39">
        <f>SUM(G95:G98)</f>
        <v>0</v>
      </c>
      <c r="H99" s="40">
        <f>SUM(H95:H98)</f>
        <v>0</v>
      </c>
      <c r="I99" s="120">
        <f>SUM(I95:I98)</f>
        <v>0</v>
      </c>
      <c r="J99" s="160">
        <f>SUM(J95:J98)</f>
        <v>0</v>
      </c>
    </row>
    <row r="100" spans="2:10" ht="12.75">
      <c r="B100" s="62" t="s">
        <v>562</v>
      </c>
      <c r="C100" s="36"/>
      <c r="D100" s="67"/>
      <c r="E100" s="21"/>
      <c r="G100" s="36"/>
      <c r="H100" s="1"/>
      <c r="I100" s="21"/>
      <c r="J100" s="159"/>
    </row>
    <row r="101" spans="2:10" ht="12.75">
      <c r="B101" s="35" t="s">
        <v>563</v>
      </c>
      <c r="C101" s="36">
        <v>6577634</v>
      </c>
      <c r="D101" s="67">
        <v>0</v>
      </c>
      <c r="E101" s="56">
        <f aca="true" t="shared" si="13" ref="E101:E106">C101+D101</f>
        <v>6577634</v>
      </c>
      <c r="G101" s="36">
        <f aca="true" t="shared" si="14" ref="G101:G106">C101+J101</f>
        <v>6581872</v>
      </c>
      <c r="H101" s="67">
        <f aca="true" t="shared" si="15" ref="H101:H106">D101</f>
        <v>0</v>
      </c>
      <c r="I101" s="56">
        <f aca="true" t="shared" si="16" ref="I101:I106">G101+H101</f>
        <v>6581872</v>
      </c>
      <c r="J101" s="159">
        <f>(6581872-C101)</f>
        <v>4238</v>
      </c>
    </row>
    <row r="102" spans="2:10" ht="12.75">
      <c r="B102" s="35" t="s">
        <v>564</v>
      </c>
      <c r="C102" s="36">
        <v>0</v>
      </c>
      <c r="D102" s="67">
        <v>0</v>
      </c>
      <c r="E102" s="125">
        <f t="shared" si="13"/>
        <v>0</v>
      </c>
      <c r="G102" s="118">
        <f t="shared" si="14"/>
        <v>0</v>
      </c>
      <c r="H102" s="67">
        <f t="shared" si="15"/>
        <v>0</v>
      </c>
      <c r="I102" s="125">
        <f t="shared" si="16"/>
        <v>0</v>
      </c>
      <c r="J102" s="159">
        <v>0</v>
      </c>
    </row>
    <row r="103" spans="2:10" ht="12.75">
      <c r="B103" s="35" t="s">
        <v>565</v>
      </c>
      <c r="C103" s="36">
        <v>0</v>
      </c>
      <c r="D103" s="67">
        <v>0</v>
      </c>
      <c r="E103" s="125">
        <f t="shared" si="13"/>
        <v>0</v>
      </c>
      <c r="G103" s="118">
        <f t="shared" si="14"/>
        <v>0</v>
      </c>
      <c r="H103" s="67">
        <f t="shared" si="15"/>
        <v>0</v>
      </c>
      <c r="I103" s="125">
        <f t="shared" si="16"/>
        <v>0</v>
      </c>
      <c r="J103" s="159">
        <v>0</v>
      </c>
    </row>
    <row r="104" spans="2:10" ht="12.75">
      <c r="B104" s="35" t="s">
        <v>566</v>
      </c>
      <c r="C104" s="36">
        <v>740859</v>
      </c>
      <c r="D104" s="67">
        <v>0</v>
      </c>
      <c r="E104" s="125">
        <f t="shared" si="13"/>
        <v>740859</v>
      </c>
      <c r="G104" s="118">
        <f t="shared" si="14"/>
        <v>744195</v>
      </c>
      <c r="H104" s="67">
        <f t="shared" si="15"/>
        <v>0</v>
      </c>
      <c r="I104" s="125">
        <f t="shared" si="16"/>
        <v>744195</v>
      </c>
      <c r="J104" s="159">
        <f>744195-C104</f>
        <v>3336</v>
      </c>
    </row>
    <row r="105" spans="2:10" ht="12.75">
      <c r="B105" s="35" t="s">
        <v>567</v>
      </c>
      <c r="C105" s="36">
        <v>0</v>
      </c>
      <c r="D105" s="67">
        <v>0</v>
      </c>
      <c r="E105" s="125">
        <f t="shared" si="13"/>
        <v>0</v>
      </c>
      <c r="G105" s="118">
        <f t="shared" si="14"/>
        <v>0</v>
      </c>
      <c r="H105" s="67">
        <f t="shared" si="15"/>
        <v>0</v>
      </c>
      <c r="I105" s="125">
        <f t="shared" si="16"/>
        <v>0</v>
      </c>
      <c r="J105" s="159">
        <v>0</v>
      </c>
    </row>
    <row r="106" spans="2:10" ht="12.75">
      <c r="B106" s="35" t="s">
        <v>568</v>
      </c>
      <c r="C106" s="36">
        <v>2122301</v>
      </c>
      <c r="D106" s="67">
        <v>0</v>
      </c>
      <c r="E106" s="125">
        <f t="shared" si="13"/>
        <v>2122301</v>
      </c>
      <c r="G106" s="118">
        <f t="shared" si="14"/>
        <v>1513969</v>
      </c>
      <c r="H106" s="67">
        <f t="shared" si="15"/>
        <v>0</v>
      </c>
      <c r="I106" s="125">
        <f t="shared" si="16"/>
        <v>1513969</v>
      </c>
      <c r="J106" s="159">
        <f>1513969-C106</f>
        <v>-608332</v>
      </c>
    </row>
    <row r="107" spans="2:10" ht="12.75">
      <c r="B107" s="35"/>
      <c r="C107" s="39">
        <f>SUM(C101:C106)</f>
        <v>9440794</v>
      </c>
      <c r="D107" s="40">
        <f>SUM(D101:D106)</f>
        <v>0</v>
      </c>
      <c r="E107" s="120">
        <f>SUM(E101:E106)</f>
        <v>9440794</v>
      </c>
      <c r="G107" s="39">
        <f>SUM(G101:G106)</f>
        <v>8840036</v>
      </c>
      <c r="H107" s="40">
        <f>SUM(H101:H106)</f>
        <v>0</v>
      </c>
      <c r="I107" s="120">
        <f>SUM(I101:I106)</f>
        <v>8840036</v>
      </c>
      <c r="J107" s="160">
        <f>SUM(J101:J106)</f>
        <v>-600758</v>
      </c>
    </row>
    <row r="108" spans="2:10" ht="12.75">
      <c r="B108" s="30" t="s">
        <v>556</v>
      </c>
      <c r="C108" s="39">
        <f>C99+C107</f>
        <v>9440794</v>
      </c>
      <c r="D108" s="40">
        <f>D99+D107</f>
        <v>0</v>
      </c>
      <c r="E108" s="120">
        <f>E99+E107</f>
        <v>9440794</v>
      </c>
      <c r="G108" s="39">
        <f>G99+G107</f>
        <v>8840036</v>
      </c>
      <c r="H108" s="40">
        <f>H99+H107</f>
        <v>0</v>
      </c>
      <c r="I108" s="120">
        <f>I99+I107</f>
        <v>8840036</v>
      </c>
      <c r="J108" s="160">
        <f>J99+J107</f>
        <v>-600758</v>
      </c>
    </row>
    <row r="109" spans="2:10" ht="12.75">
      <c r="B109" s="62" t="s">
        <v>569</v>
      </c>
      <c r="C109" s="36"/>
      <c r="D109" s="67"/>
      <c r="E109" s="21"/>
      <c r="G109" s="36"/>
      <c r="H109" s="1"/>
      <c r="I109" s="21"/>
      <c r="J109" s="159"/>
    </row>
    <row r="110" spans="2:10" ht="12.75">
      <c r="B110" s="35" t="s">
        <v>570</v>
      </c>
      <c r="C110" s="36">
        <v>923</v>
      </c>
      <c r="D110" s="67">
        <v>0</v>
      </c>
      <c r="E110" s="56">
        <f>C110+D110</f>
        <v>923</v>
      </c>
      <c r="G110" s="36">
        <f>C110+J110</f>
        <v>1038</v>
      </c>
      <c r="H110" s="67">
        <f>D110</f>
        <v>0</v>
      </c>
      <c r="I110" s="56">
        <f>G110+H110</f>
        <v>1038</v>
      </c>
      <c r="J110" s="159">
        <f>1038-C110</f>
        <v>115</v>
      </c>
    </row>
    <row r="111" spans="2:10" ht="12.75">
      <c r="B111" s="35" t="s">
        <v>571</v>
      </c>
      <c r="C111" s="36">
        <v>433041</v>
      </c>
      <c r="D111" s="67">
        <v>0</v>
      </c>
      <c r="E111" s="125">
        <f aca="true" t="shared" si="17" ref="E111:E117">C111+D111</f>
        <v>433041</v>
      </c>
      <c r="G111" s="118">
        <f aca="true" t="shared" si="18" ref="G111:G118">C111+J111</f>
        <v>459152</v>
      </c>
      <c r="H111" s="67">
        <f aca="true" t="shared" si="19" ref="H111:H117">D111</f>
        <v>0</v>
      </c>
      <c r="I111" s="125">
        <f aca="true" t="shared" si="20" ref="I111:I118">G111+H111</f>
        <v>459152</v>
      </c>
      <c r="J111" s="159">
        <f>459152-C111</f>
        <v>26111</v>
      </c>
    </row>
    <row r="112" spans="2:10" ht="12.75">
      <c r="B112" s="35" t="s">
        <v>572</v>
      </c>
      <c r="C112" s="36">
        <v>73993</v>
      </c>
      <c r="D112" s="67">
        <f>-D72</f>
        <v>109635</v>
      </c>
      <c r="E112" s="125">
        <f t="shared" si="17"/>
        <v>183628</v>
      </c>
      <c r="G112" s="118">
        <f t="shared" si="18"/>
        <v>12205</v>
      </c>
      <c r="H112" s="67">
        <f t="shared" si="19"/>
        <v>109635</v>
      </c>
      <c r="I112" s="125">
        <f t="shared" si="20"/>
        <v>121840</v>
      </c>
      <c r="J112" s="159">
        <f>12205-C112</f>
        <v>-61788</v>
      </c>
    </row>
    <row r="113" spans="2:10" ht="12.75">
      <c r="B113" s="35" t="s">
        <v>573</v>
      </c>
      <c r="C113" s="36">
        <v>74491</v>
      </c>
      <c r="D113" s="67">
        <v>0</v>
      </c>
      <c r="E113" s="125">
        <f t="shared" si="17"/>
        <v>74491</v>
      </c>
      <c r="G113" s="118">
        <f t="shared" si="18"/>
        <v>101720</v>
      </c>
      <c r="H113" s="67">
        <f t="shared" si="19"/>
        <v>0</v>
      </c>
      <c r="I113" s="125">
        <f t="shared" si="20"/>
        <v>101720</v>
      </c>
      <c r="J113" s="159">
        <f>101720-C113</f>
        <v>27229</v>
      </c>
    </row>
    <row r="114" spans="2:10" ht="12.75">
      <c r="B114" s="35" t="s">
        <v>574</v>
      </c>
      <c r="C114" s="36">
        <v>70585</v>
      </c>
      <c r="D114" s="67">
        <v>0</v>
      </c>
      <c r="E114" s="125">
        <f t="shared" si="17"/>
        <v>70585</v>
      </c>
      <c r="G114" s="118">
        <f t="shared" si="18"/>
        <v>61228</v>
      </c>
      <c r="H114" s="67">
        <f t="shared" si="19"/>
        <v>0</v>
      </c>
      <c r="I114" s="125">
        <f t="shared" si="20"/>
        <v>61228</v>
      </c>
      <c r="J114" s="159">
        <f>61228-C114</f>
        <v>-9357</v>
      </c>
    </row>
    <row r="115" spans="2:10" ht="12.75">
      <c r="B115" s="35" t="s">
        <v>575</v>
      </c>
      <c r="C115" s="36">
        <v>124130</v>
      </c>
      <c r="D115" s="67">
        <v>0</v>
      </c>
      <c r="E115" s="125">
        <f t="shared" si="17"/>
        <v>124130</v>
      </c>
      <c r="G115" s="118">
        <f t="shared" si="18"/>
        <v>78788</v>
      </c>
      <c r="H115" s="67">
        <f t="shared" si="19"/>
        <v>0</v>
      </c>
      <c r="I115" s="125">
        <f t="shared" si="20"/>
        <v>78788</v>
      </c>
      <c r="J115" s="159">
        <f>78788-C115</f>
        <v>-45342</v>
      </c>
    </row>
    <row r="116" spans="2:10" ht="12.75">
      <c r="B116" s="35" t="s">
        <v>576</v>
      </c>
      <c r="C116" s="36">
        <v>0</v>
      </c>
      <c r="D116" s="67">
        <v>0</v>
      </c>
      <c r="E116" s="125">
        <f t="shared" si="17"/>
        <v>0</v>
      </c>
      <c r="G116" s="118">
        <f t="shared" si="18"/>
        <v>0</v>
      </c>
      <c r="H116" s="67">
        <f t="shared" si="19"/>
        <v>0</v>
      </c>
      <c r="I116" s="125">
        <f t="shared" si="20"/>
        <v>0</v>
      </c>
      <c r="J116" s="159">
        <v>0</v>
      </c>
    </row>
    <row r="117" spans="2:10" ht="12.75">
      <c r="B117" s="35" t="s">
        <v>577</v>
      </c>
      <c r="C117" s="118">
        <v>0</v>
      </c>
      <c r="D117" s="106">
        <v>0</v>
      </c>
      <c r="E117" s="119">
        <f t="shared" si="17"/>
        <v>0</v>
      </c>
      <c r="F117" s="4"/>
      <c r="G117" s="118">
        <f t="shared" si="18"/>
        <v>0</v>
      </c>
      <c r="H117" s="106">
        <f t="shared" si="19"/>
        <v>0</v>
      </c>
      <c r="I117" s="119">
        <f t="shared" si="20"/>
        <v>0</v>
      </c>
      <c r="J117" s="166">
        <v>0</v>
      </c>
    </row>
    <row r="118" spans="2:10" ht="12.75">
      <c r="B118" s="35" t="s">
        <v>41</v>
      </c>
      <c r="C118" s="36">
        <f>C85</f>
        <v>415645</v>
      </c>
      <c r="D118" s="44">
        <f>D83</f>
        <v>-148591.337</v>
      </c>
      <c r="E118" s="118">
        <f>E85</f>
        <v>267053.6629999996</v>
      </c>
      <c r="G118" s="118">
        <f t="shared" si="18"/>
        <v>717788</v>
      </c>
      <c r="H118" s="44">
        <f>H83</f>
        <v>-132264.337</v>
      </c>
      <c r="I118" s="119">
        <f t="shared" si="20"/>
        <v>585523.663</v>
      </c>
      <c r="J118" s="159">
        <f>J84</f>
        <v>302143</v>
      </c>
    </row>
    <row r="119" spans="2:10" ht="12.75">
      <c r="B119" s="30" t="s">
        <v>569</v>
      </c>
      <c r="C119" s="39">
        <f>SUM(C110:C118)</f>
        <v>1192808</v>
      </c>
      <c r="D119" s="40">
        <f>SUM(D110:D118)</f>
        <v>-38956.337</v>
      </c>
      <c r="E119" s="120">
        <f>SUM(E110:E118)</f>
        <v>1153851.6629999997</v>
      </c>
      <c r="G119" s="39">
        <f>SUM(G110:G118)</f>
        <v>1431919</v>
      </c>
      <c r="H119" s="40">
        <f>SUM(H110:H118)</f>
        <v>-22629.337</v>
      </c>
      <c r="I119" s="120">
        <f>SUM(I110:I118)</f>
        <v>1409289.663</v>
      </c>
      <c r="J119" s="160">
        <f>SUM(J110:J118)</f>
        <v>239111</v>
      </c>
    </row>
    <row r="120" spans="2:10" ht="12.75">
      <c r="B120" s="30"/>
      <c r="C120" s="36"/>
      <c r="D120" s="44"/>
      <c r="E120" s="36"/>
      <c r="G120" s="36"/>
      <c r="H120" s="44"/>
      <c r="I120" s="36"/>
      <c r="J120" s="159"/>
    </row>
    <row r="121" spans="2:10" ht="16.5" thickBot="1">
      <c r="B121" s="64" t="s">
        <v>578</v>
      </c>
      <c r="C121" s="65">
        <f>C108+C119</f>
        <v>10633602</v>
      </c>
      <c r="D121" s="128">
        <f>D108+D119</f>
        <v>-38956.337</v>
      </c>
      <c r="E121" s="127">
        <f>E108+E119</f>
        <v>10594645.662999999</v>
      </c>
      <c r="G121" s="65">
        <f>G108+G119</f>
        <v>10271955</v>
      </c>
      <c r="H121" s="128">
        <f>H108+H119</f>
        <v>-22629.337</v>
      </c>
      <c r="I121" s="127">
        <f>I108+I119</f>
        <v>10249325.663</v>
      </c>
      <c r="J121" s="161">
        <f>J108+J119</f>
        <v>-361647</v>
      </c>
    </row>
    <row r="122" spans="2:10" s="1" customFormat="1" ht="16.5" thickTop="1">
      <c r="B122" s="64"/>
      <c r="C122" s="44"/>
      <c r="D122" s="44"/>
      <c r="E122" s="44"/>
      <c r="G122" s="44"/>
      <c r="H122" s="44"/>
      <c r="I122" s="44"/>
      <c r="J122" s="67"/>
    </row>
    <row r="123" spans="2:10" s="1" customFormat="1" ht="15.75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2.75">
      <c r="B124" s="41"/>
      <c r="C124" s="41"/>
      <c r="G124" s="41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J126" s="67"/>
    </row>
    <row r="127" spans="2:10" ht="30">
      <c r="B127" s="27" t="s">
        <v>554</v>
      </c>
      <c r="C127" s="22" t="s">
        <v>493</v>
      </c>
      <c r="D127" s="115" t="s">
        <v>494</v>
      </c>
      <c r="E127" s="22" t="s">
        <v>493</v>
      </c>
      <c r="G127" s="22" t="s">
        <v>493</v>
      </c>
      <c r="H127" s="115" t="s">
        <v>495</v>
      </c>
      <c r="I127" s="22" t="s">
        <v>493</v>
      </c>
      <c r="J127" s="155" t="s">
        <v>493</v>
      </c>
    </row>
    <row r="128" spans="2:10" ht="12.75">
      <c r="B128" s="66" t="s">
        <v>499</v>
      </c>
      <c r="C128" s="24" t="s">
        <v>496</v>
      </c>
      <c r="D128" s="54" t="s">
        <v>496</v>
      </c>
      <c r="E128" s="24" t="s">
        <v>496</v>
      </c>
      <c r="G128" s="24" t="s">
        <v>496</v>
      </c>
      <c r="H128" s="54" t="s">
        <v>496</v>
      </c>
      <c r="I128" s="24" t="s">
        <v>496</v>
      </c>
      <c r="J128" s="156" t="s">
        <v>496</v>
      </c>
    </row>
    <row r="129" spans="2:10" ht="12.75">
      <c r="B129" s="66"/>
      <c r="C129" s="28" t="s">
        <v>953</v>
      </c>
      <c r="D129" s="29" t="s">
        <v>953</v>
      </c>
      <c r="E129" s="28" t="s">
        <v>953</v>
      </c>
      <c r="G129" s="28" t="s">
        <v>953</v>
      </c>
      <c r="H129" s="29" t="s">
        <v>953</v>
      </c>
      <c r="I129" s="28" t="s">
        <v>953</v>
      </c>
      <c r="J129" s="157" t="s">
        <v>953</v>
      </c>
    </row>
    <row r="130" spans="2:10" ht="15">
      <c r="B130" s="33" t="s">
        <v>579</v>
      </c>
      <c r="C130" s="31" t="s">
        <v>500</v>
      </c>
      <c r="D130" s="117" t="s">
        <v>1595</v>
      </c>
      <c r="E130" s="31" t="s">
        <v>501</v>
      </c>
      <c r="G130" s="31" t="s">
        <v>500</v>
      </c>
      <c r="H130" s="117" t="s">
        <v>1486</v>
      </c>
      <c r="I130" s="31" t="s">
        <v>501</v>
      </c>
      <c r="J130" s="158" t="s">
        <v>500</v>
      </c>
    </row>
    <row r="131" spans="2:10" ht="12.75">
      <c r="B131" s="62" t="s">
        <v>580</v>
      </c>
      <c r="C131" s="21"/>
      <c r="D131" s="1"/>
      <c r="E131" s="21"/>
      <c r="G131" s="21"/>
      <c r="H131" s="1"/>
      <c r="I131" s="21"/>
      <c r="J131" s="159"/>
    </row>
    <row r="132" spans="2:10" ht="12.75">
      <c r="B132" s="35" t="s">
        <v>581</v>
      </c>
      <c r="C132" s="36">
        <v>6738591</v>
      </c>
      <c r="D132" s="67">
        <f>D45</f>
        <v>-38956.33700000001</v>
      </c>
      <c r="E132" s="56">
        <f>C132+D132</f>
        <v>6699634.663</v>
      </c>
      <c r="G132" s="36">
        <f>C132+J132</f>
        <v>6569526</v>
      </c>
      <c r="H132" s="67">
        <f>H45</f>
        <v>-22629.337000000007</v>
      </c>
      <c r="I132" s="56">
        <f>G132+H132</f>
        <v>6546896.663</v>
      </c>
      <c r="J132" s="159">
        <f>6569526-C132</f>
        <v>-169065</v>
      </c>
    </row>
    <row r="133" spans="2:10" ht="12.75">
      <c r="B133" s="35" t="s">
        <v>582</v>
      </c>
      <c r="C133" s="36">
        <v>0</v>
      </c>
      <c r="D133" s="1">
        <v>0</v>
      </c>
      <c r="E133" s="125">
        <f>C133+D133</f>
        <v>0</v>
      </c>
      <c r="G133" s="118">
        <f>C133+J133</f>
        <v>0</v>
      </c>
      <c r="H133" s="67">
        <f>D133</f>
        <v>0</v>
      </c>
      <c r="I133" s="125">
        <f>G133+H133</f>
        <v>0</v>
      </c>
      <c r="J133" s="159">
        <v>0</v>
      </c>
    </row>
    <row r="134" spans="2:10" ht="12.75">
      <c r="B134" s="35" t="s">
        <v>583</v>
      </c>
      <c r="C134" s="36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12.75">
      <c r="B135" s="30" t="s">
        <v>580</v>
      </c>
      <c r="C135" s="39">
        <f>SUM(C132:C134)</f>
        <v>6738591</v>
      </c>
      <c r="D135" s="40">
        <f>SUM(D132:D134)</f>
        <v>-38956.33700000001</v>
      </c>
      <c r="E135" s="120">
        <f>SUM(E132:E134)</f>
        <v>6699634.663</v>
      </c>
      <c r="G135" s="39">
        <f>SUM(G132:G134)</f>
        <v>6569526</v>
      </c>
      <c r="H135" s="40">
        <f>SUM(H132:H134)</f>
        <v>-22629.337000000007</v>
      </c>
      <c r="I135" s="120">
        <f>SUM(I132:I134)</f>
        <v>6546896.663</v>
      </c>
      <c r="J135" s="160">
        <f>SUM(J132:J134)</f>
        <v>-169065</v>
      </c>
    </row>
    <row r="136" spans="2:10" ht="12.75">
      <c r="B136" s="62" t="s">
        <v>584</v>
      </c>
      <c r="C136" s="36"/>
      <c r="D136" s="1"/>
      <c r="E136" s="21"/>
      <c r="G136" s="36"/>
      <c r="H136" s="1"/>
      <c r="I136" s="21"/>
      <c r="J136" s="159"/>
    </row>
    <row r="137" spans="2:10" ht="12.75">
      <c r="B137" s="35" t="s">
        <v>585</v>
      </c>
      <c r="C137" s="36">
        <v>3178341</v>
      </c>
      <c r="D137" s="67">
        <f>D50</f>
        <v>0</v>
      </c>
      <c r="E137" s="56">
        <f>C137+D137</f>
        <v>3178341</v>
      </c>
      <c r="G137" s="36">
        <f>C137+J137</f>
        <v>3340179</v>
      </c>
      <c r="H137" s="67">
        <f>H50</f>
        <v>0</v>
      </c>
      <c r="I137" s="56">
        <f>G137+H137</f>
        <v>3340179</v>
      </c>
      <c r="J137" s="159">
        <f>3340179-C137</f>
        <v>161838</v>
      </c>
    </row>
    <row r="138" spans="2:10" ht="12.75">
      <c r="B138" s="35" t="s">
        <v>586</v>
      </c>
      <c r="C138" s="36">
        <v>0</v>
      </c>
      <c r="D138" s="1">
        <v>0</v>
      </c>
      <c r="E138" s="125">
        <f>C138+D138</f>
        <v>0</v>
      </c>
      <c r="G138" s="118">
        <f>C138+J138</f>
        <v>0</v>
      </c>
      <c r="H138" s="1">
        <f>D138</f>
        <v>0</v>
      </c>
      <c r="I138" s="125">
        <f>G138+H138</f>
        <v>0</v>
      </c>
      <c r="J138" s="159">
        <v>0</v>
      </c>
    </row>
    <row r="139" spans="2:10" ht="12.75">
      <c r="B139" s="30" t="s">
        <v>584</v>
      </c>
      <c r="C139" s="39">
        <f>SUM(C137:C138)</f>
        <v>3178341</v>
      </c>
      <c r="D139" s="40">
        <f>SUM(D137:D138)</f>
        <v>0</v>
      </c>
      <c r="E139" s="120">
        <f>SUM(E137:E138)</f>
        <v>3178341</v>
      </c>
      <c r="G139" s="39">
        <f>SUM(G137:G138)</f>
        <v>3340179</v>
      </c>
      <c r="H139" s="40">
        <f>SUM(H137:H138)</f>
        <v>0</v>
      </c>
      <c r="I139" s="120">
        <f>SUM(I137:I138)</f>
        <v>3340179</v>
      </c>
      <c r="J139" s="160">
        <f>SUM(J137:J138)</f>
        <v>161838</v>
      </c>
    </row>
    <row r="140" spans="2:10" ht="12.75">
      <c r="B140" s="62" t="s">
        <v>587</v>
      </c>
      <c r="C140" s="36"/>
      <c r="D140" s="1"/>
      <c r="E140" s="21"/>
      <c r="G140" s="36"/>
      <c r="H140" s="1"/>
      <c r="I140" s="21"/>
      <c r="J140" s="159"/>
    </row>
    <row r="141" spans="2:10" ht="12.75">
      <c r="B141" s="35" t="s">
        <v>588</v>
      </c>
      <c r="C141" s="36">
        <v>0</v>
      </c>
      <c r="D141" s="1">
        <v>0</v>
      </c>
      <c r="E141" s="56">
        <f>C141+D141</f>
        <v>0</v>
      </c>
      <c r="G141" s="36">
        <f>C141+J141</f>
        <v>0</v>
      </c>
      <c r="H141" s="1">
        <f>D141</f>
        <v>0</v>
      </c>
      <c r="I141" s="56">
        <f>G141+H141</f>
        <v>0</v>
      </c>
      <c r="J141" s="159">
        <v>0</v>
      </c>
    </row>
    <row r="142" spans="2:10" ht="12.75">
      <c r="B142" s="35" t="s">
        <v>589</v>
      </c>
      <c r="C142" s="36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12.75">
      <c r="B143" s="35" t="s">
        <v>590</v>
      </c>
      <c r="C143" s="36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591</v>
      </c>
      <c r="C144" s="36">
        <v>0</v>
      </c>
      <c r="D144" s="1"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0" t="s">
        <v>587</v>
      </c>
      <c r="C145" s="39">
        <f>SUM(C141:C144)</f>
        <v>0</v>
      </c>
      <c r="D145" s="40">
        <f>SUM(D141:D144)</f>
        <v>0</v>
      </c>
      <c r="E145" s="120">
        <f>SUM(E141:E144)</f>
        <v>0</v>
      </c>
      <c r="G145" s="39">
        <f>SUM(G141:G144)</f>
        <v>0</v>
      </c>
      <c r="H145" s="40">
        <f>SUM(H141:H144)</f>
        <v>0</v>
      </c>
      <c r="I145" s="120">
        <f>SUM(I141:I144)</f>
        <v>0</v>
      </c>
      <c r="J145" s="160">
        <f>SUM(J141:J144)</f>
        <v>0</v>
      </c>
    </row>
    <row r="146" spans="2:10" ht="12.75">
      <c r="B146" s="62" t="s">
        <v>592</v>
      </c>
      <c r="C146" s="36"/>
      <c r="D146" s="1"/>
      <c r="E146" s="21"/>
      <c r="G146" s="36"/>
      <c r="H146" s="1"/>
      <c r="I146" s="21"/>
      <c r="J146" s="159"/>
    </row>
    <row r="147" spans="2:10" ht="12.75">
      <c r="B147" s="35" t="s">
        <v>588</v>
      </c>
      <c r="C147" s="36">
        <v>0</v>
      </c>
      <c r="D147" s="1">
        <v>0</v>
      </c>
      <c r="E147" s="56">
        <f>C147+D147</f>
        <v>0</v>
      </c>
      <c r="G147" s="36">
        <f>C147+J147</f>
        <v>0</v>
      </c>
      <c r="H147" s="1">
        <f>D147</f>
        <v>0</v>
      </c>
      <c r="I147" s="56">
        <f>G147+H147</f>
        <v>0</v>
      </c>
      <c r="J147" s="159">
        <v>0</v>
      </c>
    </row>
    <row r="148" spans="2:10" ht="12.75">
      <c r="B148" s="35" t="s">
        <v>593</v>
      </c>
      <c r="C148" s="36">
        <v>185806</v>
      </c>
      <c r="D148" s="1">
        <v>0</v>
      </c>
      <c r="E148" s="125">
        <f aca="true" t="shared" si="21" ref="E148:E156">C148+D148</f>
        <v>185806</v>
      </c>
      <c r="G148" s="118">
        <f aca="true" t="shared" si="22" ref="G148:G156">C148+J148</f>
        <v>202099</v>
      </c>
      <c r="H148" s="1">
        <f aca="true" t="shared" si="23" ref="H148:H156">D148</f>
        <v>0</v>
      </c>
      <c r="I148" s="125">
        <f aca="true" t="shared" si="24" ref="I148:I156">G148+H148</f>
        <v>202099</v>
      </c>
      <c r="J148" s="159">
        <f>202099-C148</f>
        <v>16293</v>
      </c>
    </row>
    <row r="149" spans="2:10" ht="12.75">
      <c r="B149" s="35" t="s">
        <v>590</v>
      </c>
      <c r="C149" s="36">
        <v>25232</v>
      </c>
      <c r="D149" s="1">
        <v>0</v>
      </c>
      <c r="E149" s="125">
        <f t="shared" si="21"/>
        <v>25232</v>
      </c>
      <c r="G149" s="118">
        <f t="shared" si="22"/>
        <v>14764</v>
      </c>
      <c r="H149" s="1">
        <f t="shared" si="23"/>
        <v>0</v>
      </c>
      <c r="I149" s="125">
        <f t="shared" si="24"/>
        <v>14764</v>
      </c>
      <c r="J149" s="159">
        <f>14764-C149</f>
        <v>-10468</v>
      </c>
    </row>
    <row r="150" spans="2:10" ht="12.75">
      <c r="B150" s="35" t="s">
        <v>594</v>
      </c>
      <c r="C150" s="36">
        <v>0</v>
      </c>
      <c r="D150" s="1">
        <v>0</v>
      </c>
      <c r="E150" s="125">
        <f t="shared" si="21"/>
        <v>0</v>
      </c>
      <c r="G150" s="118">
        <f t="shared" si="22"/>
        <v>0</v>
      </c>
      <c r="H150" s="1">
        <f t="shared" si="23"/>
        <v>0</v>
      </c>
      <c r="I150" s="125">
        <f t="shared" si="24"/>
        <v>0</v>
      </c>
      <c r="J150" s="159">
        <v>0</v>
      </c>
    </row>
    <row r="151" spans="2:10" ht="12.75">
      <c r="B151" s="69" t="s">
        <v>595</v>
      </c>
      <c r="C151" s="36">
        <v>190072</v>
      </c>
      <c r="D151" s="1">
        <v>0</v>
      </c>
      <c r="E151" s="125">
        <f t="shared" si="21"/>
        <v>190072</v>
      </c>
      <c r="G151" s="118">
        <f t="shared" si="22"/>
        <v>82000</v>
      </c>
      <c r="H151" s="1">
        <f t="shared" si="23"/>
        <v>0</v>
      </c>
      <c r="I151" s="125">
        <f t="shared" si="24"/>
        <v>82000</v>
      </c>
      <c r="J151" s="159">
        <f>82000-C151</f>
        <v>-108072</v>
      </c>
    </row>
    <row r="152" spans="2:10" ht="12.75">
      <c r="B152" s="35" t="s">
        <v>596</v>
      </c>
      <c r="C152" s="36">
        <v>0</v>
      </c>
      <c r="D152" s="1">
        <v>0</v>
      </c>
      <c r="E152" s="125">
        <f t="shared" si="21"/>
        <v>0</v>
      </c>
      <c r="G152" s="118">
        <f t="shared" si="22"/>
        <v>0</v>
      </c>
      <c r="H152" s="1">
        <f t="shared" si="23"/>
        <v>0</v>
      </c>
      <c r="I152" s="125">
        <f t="shared" si="24"/>
        <v>0</v>
      </c>
      <c r="J152" s="159">
        <v>0</v>
      </c>
    </row>
    <row r="153" spans="2:10" ht="12.75">
      <c r="B153" s="35" t="s">
        <v>597</v>
      </c>
      <c r="C153" s="36">
        <v>0</v>
      </c>
      <c r="D153" s="1">
        <v>0</v>
      </c>
      <c r="E153" s="125">
        <f t="shared" si="21"/>
        <v>0</v>
      </c>
      <c r="G153" s="118">
        <f t="shared" si="22"/>
        <v>0</v>
      </c>
      <c r="H153" s="1">
        <f t="shared" si="23"/>
        <v>0</v>
      </c>
      <c r="I153" s="125">
        <f t="shared" si="24"/>
        <v>0</v>
      </c>
      <c r="J153" s="159">
        <v>0</v>
      </c>
    </row>
    <row r="154" spans="2:10" ht="12.75">
      <c r="B154" s="35" t="s">
        <v>598</v>
      </c>
      <c r="C154" s="36">
        <v>0</v>
      </c>
      <c r="D154" s="1">
        <v>0</v>
      </c>
      <c r="E154" s="125">
        <f t="shared" si="21"/>
        <v>0</v>
      </c>
      <c r="G154" s="118">
        <f t="shared" si="22"/>
        <v>0</v>
      </c>
      <c r="H154" s="1">
        <f t="shared" si="23"/>
        <v>0</v>
      </c>
      <c r="I154" s="125">
        <f t="shared" si="24"/>
        <v>0</v>
      </c>
      <c r="J154" s="159">
        <v>0</v>
      </c>
    </row>
    <row r="155" spans="2:10" ht="12.75">
      <c r="B155" s="35" t="s">
        <v>599</v>
      </c>
      <c r="C155" s="36">
        <v>315560</v>
      </c>
      <c r="D155" s="1">
        <v>0</v>
      </c>
      <c r="E155" s="125">
        <f t="shared" si="21"/>
        <v>315560</v>
      </c>
      <c r="G155" s="118">
        <f t="shared" si="22"/>
        <v>344670</v>
      </c>
      <c r="H155" s="1">
        <f t="shared" si="23"/>
        <v>0</v>
      </c>
      <c r="I155" s="125">
        <f t="shared" si="24"/>
        <v>344670</v>
      </c>
      <c r="J155" s="159">
        <f>344670-C155</f>
        <v>29110</v>
      </c>
    </row>
    <row r="156" spans="2:10" ht="12.75">
      <c r="B156" s="35" t="s">
        <v>600</v>
      </c>
      <c r="C156" s="36">
        <v>0</v>
      </c>
      <c r="D156" s="1">
        <v>0</v>
      </c>
      <c r="E156" s="125">
        <f t="shared" si="21"/>
        <v>0</v>
      </c>
      <c r="G156" s="118">
        <f t="shared" si="22"/>
        <v>0</v>
      </c>
      <c r="H156" s="1">
        <f t="shared" si="23"/>
        <v>0</v>
      </c>
      <c r="I156" s="125">
        <f t="shared" si="24"/>
        <v>0</v>
      </c>
      <c r="J156" s="159">
        <v>0</v>
      </c>
    </row>
    <row r="157" spans="2:10" ht="12.75">
      <c r="B157" s="30" t="s">
        <v>592</v>
      </c>
      <c r="C157" s="39">
        <f>SUM(C147:C156)</f>
        <v>716670</v>
      </c>
      <c r="D157" s="40">
        <f>SUM(D147:D156)</f>
        <v>0</v>
      </c>
      <c r="E157" s="120">
        <f>SUM(E147:E156)</f>
        <v>716670</v>
      </c>
      <c r="G157" s="39">
        <f>SUM(G147:G156)</f>
        <v>643533</v>
      </c>
      <c r="H157" s="40">
        <f>SUM(H147:H156)</f>
        <v>0</v>
      </c>
      <c r="I157" s="120">
        <f>SUM(I147:I156)</f>
        <v>643533</v>
      </c>
      <c r="J157" s="160">
        <f>SUM(J147:J156)</f>
        <v>-73137</v>
      </c>
    </row>
    <row r="158" spans="2:10" ht="12.75">
      <c r="B158" s="30"/>
      <c r="C158" s="36"/>
      <c r="D158" s="1"/>
      <c r="E158" s="21"/>
      <c r="G158" s="36"/>
      <c r="H158" s="1"/>
      <c r="I158" s="21"/>
      <c r="J158" s="159"/>
    </row>
    <row r="159" spans="2:10" ht="12.75">
      <c r="B159" s="57" t="s">
        <v>601</v>
      </c>
      <c r="C159" s="39">
        <f>C139+C145+C157</f>
        <v>3895011</v>
      </c>
      <c r="D159" s="40">
        <f>D139+D145+D157</f>
        <v>0</v>
      </c>
      <c r="E159" s="120">
        <f>E139+E145+E157</f>
        <v>3895011</v>
      </c>
      <c r="G159" s="39">
        <f>G139+G145+G157</f>
        <v>3983712</v>
      </c>
      <c r="H159" s="40">
        <f>H139+H145+H157</f>
        <v>0</v>
      </c>
      <c r="I159" s="120">
        <f>I139+I145+I157</f>
        <v>3983712</v>
      </c>
      <c r="J159" s="160">
        <f>J139+J145+J157</f>
        <v>88701</v>
      </c>
    </row>
    <row r="160" spans="2:10" ht="12.75">
      <c r="B160" s="30"/>
      <c r="C160" s="36"/>
      <c r="D160" s="44"/>
      <c r="E160" s="36"/>
      <c r="G160" s="36"/>
      <c r="H160" s="44"/>
      <c r="I160" s="36"/>
      <c r="J160" s="159"/>
    </row>
    <row r="161" spans="2:10" ht="16.5" thickBot="1">
      <c r="B161" s="64" t="s">
        <v>602</v>
      </c>
      <c r="C161" s="65">
        <f>C135+C159</f>
        <v>10633602</v>
      </c>
      <c r="D161" s="127">
        <f>D135+D159</f>
        <v>-38956.33700000001</v>
      </c>
      <c r="E161" s="127">
        <f>E135+E159</f>
        <v>10594645.662999999</v>
      </c>
      <c r="G161" s="65">
        <f>G135+G159</f>
        <v>10553238</v>
      </c>
      <c r="H161" s="128">
        <f>H135+H159</f>
        <v>-22629.337000000007</v>
      </c>
      <c r="I161" s="127">
        <f>I135+I159</f>
        <v>10530608.662999999</v>
      </c>
      <c r="J161" s="161">
        <f>J135+J159</f>
        <v>-80364</v>
      </c>
    </row>
    <row r="162" spans="8:10" ht="13.5" thickTop="1">
      <c r="H162" s="1"/>
      <c r="J162" s="3"/>
    </row>
    <row r="163" spans="8:10" ht="12.75">
      <c r="H163" s="1"/>
      <c r="J163" s="3"/>
    </row>
    <row r="164" spans="2:10" ht="12.75" outlineLevel="1">
      <c r="B164" t="s">
        <v>603</v>
      </c>
      <c r="C164" s="164">
        <f>C121-C161</f>
        <v>0</v>
      </c>
      <c r="D164" s="3">
        <f>D121-D161</f>
        <v>0</v>
      </c>
      <c r="E164" s="3">
        <f>E121-E161</f>
        <v>0</v>
      </c>
      <c r="G164" s="3">
        <f>G121-G161</f>
        <v>-281283</v>
      </c>
      <c r="H164" s="67">
        <f>H121-H161</f>
        <v>0</v>
      </c>
      <c r="I164" s="3">
        <f>I121-I161</f>
        <v>-281282.99999999814</v>
      </c>
      <c r="J164" s="3">
        <f>J121-J161</f>
        <v>-281283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5"/>
  <sheetViews>
    <sheetView tabSelected="1" zoomScalePageLayoutView="0" workbookViewId="0" topLeftCell="A1">
      <selection activeCell="D10" sqref="D10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45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956</v>
      </c>
      <c r="D5" s="29" t="s">
        <v>956</v>
      </c>
      <c r="E5" s="28" t="s">
        <v>956</v>
      </c>
      <c r="G5" s="28" t="s">
        <v>956</v>
      </c>
      <c r="H5" s="29" t="s">
        <v>956</v>
      </c>
      <c r="I5" s="28" t="s">
        <v>956</v>
      </c>
    </row>
    <row r="6" spans="2:9" ht="15">
      <c r="B6" s="30" t="s">
        <v>499</v>
      </c>
      <c r="C6" s="116" t="s">
        <v>500</v>
      </c>
      <c r="D6" s="117" t="s">
        <v>1595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nr.2'!N1767/1000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503</v>
      </c>
      <c r="C9" s="118">
        <v>0</v>
      </c>
      <c r="D9" s="67">
        <f>-'Sundurliðun viðauka nr.2'!N1768/1000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504</v>
      </c>
      <c r="C10" s="118">
        <v>710745</v>
      </c>
      <c r="D10" s="67">
        <f>-(-5000000)/1000-('Sundurliðun viðauka nr.2'!N1769+('Sundurliðun viðauka nr.2'!N1770-765129)+'Sundurliðun viðauka nr.2'!N1771+'Sundurliðun viðauka nr.2'!N1772+'Sundurliðun viðauka nr.2'!N1773)/1000</f>
        <v>39936.658</v>
      </c>
      <c r="E10" s="119">
        <f>C10+D10</f>
        <v>750681.658</v>
      </c>
      <c r="G10" s="118">
        <f t="shared" si="0"/>
        <v>710745</v>
      </c>
      <c r="H10" s="67">
        <f t="shared" si="0"/>
        <v>39936.658</v>
      </c>
      <c r="I10" s="119">
        <f>G10+H10</f>
        <v>750681.658</v>
      </c>
    </row>
    <row r="11" spans="2:9" ht="12.75">
      <c r="B11" s="38"/>
      <c r="C11" s="120">
        <f>SUM(C8:C10)</f>
        <v>710745</v>
      </c>
      <c r="D11" s="40">
        <f>SUM(D8:D10)</f>
        <v>39936.658</v>
      </c>
      <c r="E11" s="120">
        <f>SUM(E8:E10)</f>
        <v>750681.658</v>
      </c>
      <c r="G11" s="120">
        <f>SUM(G8:G10)</f>
        <v>710745</v>
      </c>
      <c r="H11" s="40">
        <f>SUM(H8:H10)</f>
        <v>39936.658</v>
      </c>
      <c r="I11" s="120">
        <f>SUM(I8:I10)</f>
        <v>750681.658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91572</v>
      </c>
      <c r="D14" s="67">
        <f>(-158944)/1000+'Sundurliðun viðauka nr.2'!N1774/1000</f>
        <v>-158.944</v>
      </c>
      <c r="E14" s="119">
        <f>C14+D14</f>
        <v>91413.056</v>
      </c>
      <c r="G14" s="118">
        <f aca="true" t="shared" si="1" ref="G14:H16">C14</f>
        <v>91572</v>
      </c>
      <c r="H14" s="67">
        <f t="shared" si="1"/>
        <v>-158.944</v>
      </c>
      <c r="I14" s="119">
        <f>G14+H14</f>
        <v>91413.056</v>
      </c>
    </row>
    <row r="15" spans="2:9" ht="12.75">
      <c r="B15" s="35" t="s">
        <v>507</v>
      </c>
      <c r="C15" s="118">
        <v>325303</v>
      </c>
      <c r="D15" s="67">
        <f>(2000000-5000000)/1000+('Sundurliðun viðauka nr.2'!N1775+('Sundurliðun viðauka nr.2'!N1776+765129)+'Sundurliðun viðauka nr.2'!N1777+'Sundurliðun viðauka nr.2'!N1778+'Sundurliðun viðauka nr.2'!N1779+'Sundurliðun viðauka nr.2'!N1780+'Sundurliðun viðauka nr.2'!N1781)/1000</f>
        <v>3317</v>
      </c>
      <c r="E15" s="119">
        <f>C15+D15</f>
        <v>328620</v>
      </c>
      <c r="G15" s="118">
        <f t="shared" si="1"/>
        <v>325303</v>
      </c>
      <c r="H15" s="67">
        <f t="shared" si="1"/>
        <v>3317</v>
      </c>
      <c r="I15" s="119">
        <f>G15+H15</f>
        <v>328620</v>
      </c>
    </row>
    <row r="16" spans="2:9" ht="12.75">
      <c r="B16" s="35" t="s">
        <v>508</v>
      </c>
      <c r="C16" s="118">
        <v>4806</v>
      </c>
      <c r="D16" s="67">
        <f>'Sundurliðun viðauka nr.2'!N1783/1000</f>
        <v>0</v>
      </c>
      <c r="E16" s="119">
        <f>C16+D16</f>
        <v>4806</v>
      </c>
      <c r="G16" s="118">
        <f t="shared" si="1"/>
        <v>4806</v>
      </c>
      <c r="H16" s="67">
        <f t="shared" si="1"/>
        <v>0</v>
      </c>
      <c r="I16" s="119">
        <f>G16+H16</f>
        <v>4806</v>
      </c>
    </row>
    <row r="17" spans="2:9" ht="12.75">
      <c r="B17" s="38"/>
      <c r="C17" s="120">
        <f>SUM(C14:C16)</f>
        <v>421681</v>
      </c>
      <c r="D17" s="40">
        <f>SUM(D14:D16)</f>
        <v>3158.056</v>
      </c>
      <c r="E17" s="120">
        <f>SUM(E14:E16)</f>
        <v>424839.056</v>
      </c>
      <c r="G17" s="120">
        <f>SUM(G14:G16)</f>
        <v>421681</v>
      </c>
      <c r="H17" s="40">
        <f>SUM(H14:H16)</f>
        <v>3158.056</v>
      </c>
      <c r="I17" s="120">
        <f>SUM(I14:I16)</f>
        <v>424839.056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0.40670563985677</v>
      </c>
      <c r="D19" s="71" t="s">
        <v>1</v>
      </c>
      <c r="E19" s="68">
        <f>(E11-E17)/E11</f>
        <v>0.43406229328704343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120628</v>
      </c>
      <c r="D20" s="67">
        <f>0/1000+'Sundurliðun viðauka nr.2'!N1782/1000</f>
        <v>13105.345</v>
      </c>
      <c r="E20" s="119">
        <f>C20+D20</f>
        <v>133733.345</v>
      </c>
      <c r="G20" s="118">
        <f>C20</f>
        <v>120628</v>
      </c>
      <c r="H20" s="67">
        <f>D20</f>
        <v>13105.345</v>
      </c>
      <c r="I20" s="119">
        <f>G20+H20</f>
        <v>133733.345</v>
      </c>
    </row>
    <row r="21" spans="2:9" ht="12.75">
      <c r="B21" s="35" t="s">
        <v>511</v>
      </c>
      <c r="C21" s="120">
        <f>C11-C17-C20</f>
        <v>168436</v>
      </c>
      <c r="D21" s="40">
        <f>D11-D17-D20</f>
        <v>23673.257000000005</v>
      </c>
      <c r="E21" s="120">
        <f>E11-E17-E20</f>
        <v>192109.25700000007</v>
      </c>
      <c r="G21" s="120">
        <f>G11-G17-G20</f>
        <v>168436</v>
      </c>
      <c r="H21" s="40">
        <f>H11-H17-H20</f>
        <v>23673.257000000005</v>
      </c>
      <c r="I21" s="120">
        <f>I11-I17-I20</f>
        <v>192109.25700000007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-181992</v>
      </c>
      <c r="D24" s="40">
        <f>-'Sundurliðun viðauka nr.2'!N1784/1000</f>
        <v>0</v>
      </c>
      <c r="E24" s="120">
        <f>C24+D24</f>
        <v>-181992</v>
      </c>
      <c r="G24" s="120">
        <f>C24</f>
        <v>-181992</v>
      </c>
      <c r="H24" s="40">
        <f>D24</f>
        <v>0</v>
      </c>
      <c r="I24" s="120">
        <f>G24+H24</f>
        <v>-181992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-13556</v>
      </c>
      <c r="D26" s="44">
        <f>D21+D24</f>
        <v>23673.257000000005</v>
      </c>
      <c r="E26" s="118">
        <f>E21+E24</f>
        <v>10117.25700000007</v>
      </c>
      <c r="G26" s="118">
        <f>G21+G24</f>
        <v>-13556</v>
      </c>
      <c r="H26" s="44">
        <f>D26</f>
        <v>23673.257000000005</v>
      </c>
      <c r="I26" s="118">
        <f>I21+I24</f>
        <v>10117.25700000007</v>
      </c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-13556</v>
      </c>
      <c r="D30" s="44">
        <f>D26+D29</f>
        <v>23673.257000000005</v>
      </c>
      <c r="E30" s="118">
        <f>E26+E29</f>
        <v>10117.25700000007</v>
      </c>
      <c r="G30" s="118">
        <f>G21+G24+G29</f>
        <v>-13556</v>
      </c>
      <c r="H30" s="44">
        <f>H21+H24+H29</f>
        <v>23673.257000000005</v>
      </c>
      <c r="I30" s="118">
        <f>I21+I24+I29</f>
        <v>10117.25700000007</v>
      </c>
    </row>
    <row r="31" spans="2:9" ht="12.7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-13556</v>
      </c>
      <c r="D33" s="124">
        <f>SUM(D30:D32)</f>
        <v>23673.257000000005</v>
      </c>
      <c r="E33" s="123">
        <f>SUM(E30:E32)</f>
        <v>10117.25700000007</v>
      </c>
      <c r="G33" s="123">
        <f>SUM(G30:G32)</f>
        <v>-13556</v>
      </c>
      <c r="H33" s="124">
        <f>SUM(H30:H32)</f>
        <v>23673.257000000005</v>
      </c>
      <c r="I33" s="123">
        <f>SUM(I30:I32)</f>
        <v>10117.25700000007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956</v>
      </c>
      <c r="D42" s="29" t="s">
        <v>956</v>
      </c>
      <c r="E42" s="28" t="s">
        <v>956</v>
      </c>
      <c r="G42" s="28" t="s">
        <v>956</v>
      </c>
      <c r="H42" s="29" t="s">
        <v>956</v>
      </c>
      <c r="I42" s="28" t="s">
        <v>956</v>
      </c>
    </row>
    <row r="43" spans="2:9" ht="15">
      <c r="B43" s="30" t="s">
        <v>520</v>
      </c>
      <c r="C43" s="116" t="s">
        <v>500</v>
      </c>
      <c r="D43" s="117" t="s">
        <v>1595</v>
      </c>
      <c r="E43" s="116" t="s">
        <v>501</v>
      </c>
      <c r="G43" s="116" t="s">
        <v>500</v>
      </c>
      <c r="H43" s="117" t="s">
        <v>1486</v>
      </c>
      <c r="I43" s="116" t="s">
        <v>501</v>
      </c>
    </row>
    <row r="44" spans="2:9" ht="12.75">
      <c r="B44" s="33" t="s">
        <v>521</v>
      </c>
      <c r="C44" s="55"/>
      <c r="E44" s="114"/>
      <c r="G44" s="55"/>
      <c r="H44" s="1"/>
      <c r="I44" s="114"/>
    </row>
    <row r="45" spans="2:9" ht="12.75">
      <c r="B45" s="35" t="s">
        <v>522</v>
      </c>
      <c r="C45" s="118">
        <f>C33</f>
        <v>-13556</v>
      </c>
      <c r="D45" s="44">
        <f>D33</f>
        <v>23673.257000000005</v>
      </c>
      <c r="E45" s="118">
        <f>E33</f>
        <v>10117.25700000007</v>
      </c>
      <c r="G45" s="118">
        <f>G33</f>
        <v>-13556</v>
      </c>
      <c r="H45" s="44">
        <f>H33</f>
        <v>23673.257000000005</v>
      </c>
      <c r="I45" s="118">
        <f>I33</f>
        <v>10117.25700000007</v>
      </c>
    </row>
    <row r="46" spans="2:9" ht="12.75">
      <c r="B46" s="35" t="s">
        <v>523</v>
      </c>
      <c r="C46" s="118">
        <f>C20</f>
        <v>120628</v>
      </c>
      <c r="D46" s="44">
        <f>D20</f>
        <v>13105.345</v>
      </c>
      <c r="E46" s="118">
        <f>E20</f>
        <v>133733.345</v>
      </c>
      <c r="G46" s="118">
        <f>G20</f>
        <v>120628</v>
      </c>
      <c r="H46" s="44">
        <f>H20</f>
        <v>13105.345</v>
      </c>
      <c r="I46" s="118">
        <f>I20</f>
        <v>133733.345</v>
      </c>
    </row>
    <row r="47" spans="2:9" ht="12.75">
      <c r="B47" s="35" t="s">
        <v>524</v>
      </c>
      <c r="C47" s="118">
        <v>77327</v>
      </c>
      <c r="D47" s="67">
        <f>'Sundurliðun viðauka nr.2'!H1530/1000</f>
        <v>0</v>
      </c>
      <c r="E47" s="125">
        <f>C47+D47</f>
        <v>77327</v>
      </c>
      <c r="G47" s="118">
        <f aca="true" t="shared" si="2" ref="G47:H49">C47</f>
        <v>77327</v>
      </c>
      <c r="H47" s="67">
        <f t="shared" si="2"/>
        <v>0</v>
      </c>
      <c r="I47" s="125">
        <f>G47+H47</f>
        <v>77327</v>
      </c>
    </row>
    <row r="48" spans="2:9" ht="12.7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12.7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12.75">
      <c r="B50" s="35" t="s">
        <v>527</v>
      </c>
      <c r="C50" s="118">
        <f>C16</f>
        <v>4806</v>
      </c>
      <c r="D50" s="44">
        <f>D16</f>
        <v>0</v>
      </c>
      <c r="E50" s="118">
        <f>E16</f>
        <v>4806</v>
      </c>
      <c r="G50" s="118">
        <f>G16</f>
        <v>4806</v>
      </c>
      <c r="H50" s="44">
        <f>H16</f>
        <v>0</v>
      </c>
      <c r="I50" s="118">
        <f>I16</f>
        <v>4806</v>
      </c>
    </row>
    <row r="51" spans="2:9" ht="12.7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12.75">
      <c r="B52" s="57" t="s">
        <v>529</v>
      </c>
      <c r="C52" s="120">
        <f>SUM(C45:C51)</f>
        <v>189205</v>
      </c>
      <c r="D52" s="40">
        <f>SUM(D45:D51)</f>
        <v>36778.602000000006</v>
      </c>
      <c r="E52" s="120">
        <f>SUM(E45:E51)</f>
        <v>225983.60200000007</v>
      </c>
      <c r="G52" s="120">
        <f>SUM(G45:G51)</f>
        <v>189205</v>
      </c>
      <c r="H52" s="40">
        <f>SUM(H45:H51)</f>
        <v>36778.602000000006</v>
      </c>
      <c r="I52" s="120">
        <f>SUM(I45:I51)</f>
        <v>225983.60200000007</v>
      </c>
    </row>
    <row r="53" spans="2:9" ht="12.75">
      <c r="B53" s="58" t="s">
        <v>530</v>
      </c>
      <c r="C53" s="118"/>
      <c r="D53" s="1"/>
      <c r="E53" s="114"/>
      <c r="G53" s="118"/>
      <c r="H53" s="1"/>
      <c r="I53" s="114"/>
    </row>
    <row r="54" spans="2:9" ht="12.7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12.75">
      <c r="B55" s="35" t="s">
        <v>532</v>
      </c>
      <c r="C55" s="118">
        <v>-5000</v>
      </c>
      <c r="D55" s="2">
        <v>0</v>
      </c>
      <c r="E55" s="125">
        <f>C55+D55</f>
        <v>-5000</v>
      </c>
      <c r="G55" s="118">
        <f t="shared" si="3"/>
        <v>-5000</v>
      </c>
      <c r="H55" s="1">
        <f t="shared" si="3"/>
        <v>0</v>
      </c>
      <c r="I55" s="125">
        <f>G55+H55</f>
        <v>-5000</v>
      </c>
    </row>
    <row r="56" spans="2:9" ht="12.7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12.75">
      <c r="B57" s="35" t="s">
        <v>534</v>
      </c>
      <c r="C57" s="118">
        <v>-2000</v>
      </c>
      <c r="D57" s="2">
        <v>0</v>
      </c>
      <c r="E57" s="125">
        <f>C57+D57</f>
        <v>-2000</v>
      </c>
      <c r="G57" s="118">
        <f t="shared" si="3"/>
        <v>-2000</v>
      </c>
      <c r="H57" s="1">
        <f t="shared" si="3"/>
        <v>0</v>
      </c>
      <c r="I57" s="125">
        <f>G57+H57</f>
        <v>-2000</v>
      </c>
    </row>
    <row r="58" spans="2:9" ht="12.75">
      <c r="B58" s="35" t="s">
        <v>535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</row>
    <row r="59" spans="2:9" ht="12.75">
      <c r="B59" s="30" t="s">
        <v>530</v>
      </c>
      <c r="C59" s="121">
        <f>SUM(C54:C58)</f>
        <v>-7000</v>
      </c>
      <c r="D59" s="48">
        <f>SUM(D54:D58)</f>
        <v>0</v>
      </c>
      <c r="E59" s="121">
        <f>SUM(E54:E58)</f>
        <v>-7000</v>
      </c>
      <c r="G59" s="121">
        <f>SUM(G54:G58)</f>
        <v>-7000</v>
      </c>
      <c r="H59" s="48">
        <f>SUM(H54:H58)</f>
        <v>0</v>
      </c>
      <c r="I59" s="121">
        <f>SUM(I54:I58)</f>
        <v>-7000</v>
      </c>
    </row>
    <row r="60" spans="2:9" ht="13.5" thickBot="1">
      <c r="B60" s="57" t="s">
        <v>536</v>
      </c>
      <c r="C60" s="123">
        <f>C52+C59</f>
        <v>182205</v>
      </c>
      <c r="D60" s="124">
        <f>D52+D59</f>
        <v>36778.602000000006</v>
      </c>
      <c r="E60" s="123">
        <f>E52+E59</f>
        <v>218983.60200000007</v>
      </c>
      <c r="G60" s="123">
        <f>G52+G59</f>
        <v>182205</v>
      </c>
      <c r="H60" s="124">
        <f>H52+H59</f>
        <v>36778.602000000006</v>
      </c>
      <c r="I60" s="123">
        <f>I52+I59</f>
        <v>218983.60200000007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537</v>
      </c>
      <c r="C62" s="60"/>
      <c r="D62" s="1"/>
      <c r="E62" s="114"/>
      <c r="G62" s="60"/>
      <c r="H62" s="1"/>
      <c r="I62" s="114"/>
    </row>
    <row r="63" spans="2:9" ht="12.75">
      <c r="B63" s="35" t="s">
        <v>538</v>
      </c>
      <c r="C63" s="118">
        <v>-565000</v>
      </c>
      <c r="D63" s="67">
        <f>-(30000000)/1000-'Sundurliðun viðauka nr.2'!N1798/1000</f>
        <v>-30000</v>
      </c>
      <c r="E63" s="125">
        <f aca="true" t="shared" si="4" ref="E63:E68">C63+D63</f>
        <v>-595000</v>
      </c>
      <c r="G63" s="118">
        <f>C63</f>
        <v>-565000</v>
      </c>
      <c r="H63" s="67">
        <f aca="true" t="shared" si="5" ref="H63:H68">D63</f>
        <v>-30000</v>
      </c>
      <c r="I63" s="125">
        <f aca="true" t="shared" si="6" ref="I63:I68">G63+H63</f>
        <v>-595000</v>
      </c>
    </row>
    <row r="64" spans="2:9" ht="12.75" hidden="1" outlineLevel="1">
      <c r="B64" s="35" t="s">
        <v>539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</row>
    <row r="65" spans="2:9" ht="12.75" hidden="1" outlineLevel="1">
      <c r="B65" s="35" t="s">
        <v>540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</row>
    <row r="66" spans="2:9" ht="12.75" collapsed="1">
      <c r="B66" s="35" t="s">
        <v>541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</row>
    <row r="67" spans="2:9" ht="12.75" hidden="1" outlineLevel="1">
      <c r="B67" s="35" t="s">
        <v>542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</row>
    <row r="68" spans="2:9" ht="12.75" hidden="1" outlineLevel="1">
      <c r="B68" s="35" t="s">
        <v>528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</row>
    <row r="69" spans="2:9" ht="12.75" collapsed="1">
      <c r="B69" s="30" t="s">
        <v>537</v>
      </c>
      <c r="C69" s="120">
        <f>SUM(C63:C68)</f>
        <v>-565000</v>
      </c>
      <c r="D69" s="40">
        <f>SUM(D63:D68)</f>
        <v>-30000</v>
      </c>
      <c r="E69" s="120">
        <f>SUM(E63:E68)</f>
        <v>-595000</v>
      </c>
      <c r="G69" s="120">
        <f>SUM(G63:G68)</f>
        <v>-565000</v>
      </c>
      <c r="H69" s="40">
        <f>SUM(H63:H68)</f>
        <v>-30000</v>
      </c>
      <c r="I69" s="120">
        <f>SUM(I63:I68)</f>
        <v>-595000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543</v>
      </c>
      <c r="C71" s="60"/>
      <c r="D71" s="67"/>
      <c r="E71" s="114"/>
      <c r="G71" s="60"/>
      <c r="H71" s="1"/>
      <c r="I71" s="114"/>
    </row>
    <row r="72" spans="2:9" ht="12.75" outlineLevel="1">
      <c r="B72" s="69" t="s">
        <v>957</v>
      </c>
      <c r="C72" s="118">
        <v>500000</v>
      </c>
      <c r="D72" s="67">
        <v>0</v>
      </c>
      <c r="E72" s="125">
        <f>C72+D72</f>
        <v>500000</v>
      </c>
      <c r="G72" s="118">
        <f>C72</f>
        <v>500000</v>
      </c>
      <c r="H72" s="67">
        <f>D72</f>
        <v>0</v>
      </c>
      <c r="I72" s="125">
        <f>G72+H72</f>
        <v>500000</v>
      </c>
    </row>
    <row r="73" spans="2:9" ht="12.75" outlineLevel="1">
      <c r="B73" s="35" t="s">
        <v>545</v>
      </c>
      <c r="C73" s="118">
        <v>218654</v>
      </c>
      <c r="D73" s="67">
        <f>(22000000-159000-28620000)/1000</f>
        <v>-6779</v>
      </c>
      <c r="E73" s="125">
        <f aca="true" t="shared" si="7" ref="E73:E81">C73+D73</f>
        <v>211875</v>
      </c>
      <c r="G73" s="118">
        <f aca="true" t="shared" si="8" ref="G73:G81">C73</f>
        <v>218654</v>
      </c>
      <c r="H73" s="67">
        <f aca="true" t="shared" si="9" ref="H73:H81">D73</f>
        <v>-6779</v>
      </c>
      <c r="I73" s="125">
        <f aca="true" t="shared" si="10" ref="I73:I81">G73+H73</f>
        <v>211875</v>
      </c>
    </row>
    <row r="74" spans="2:9" ht="12.75" outlineLevel="1">
      <c r="B74" s="35" t="s">
        <v>546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12.75" outlineLevel="1">
      <c r="B75" s="69" t="s">
        <v>954</v>
      </c>
      <c r="C75" s="118">
        <v>-1920</v>
      </c>
      <c r="D75" s="67">
        <v>0</v>
      </c>
      <c r="E75" s="125">
        <f t="shared" si="7"/>
        <v>-1920</v>
      </c>
      <c r="G75" s="118">
        <f t="shared" si="8"/>
        <v>-1920</v>
      </c>
      <c r="H75" s="67">
        <f t="shared" si="9"/>
        <v>0</v>
      </c>
      <c r="I75" s="125">
        <f t="shared" si="10"/>
        <v>-1920</v>
      </c>
    </row>
    <row r="76" spans="2:9" ht="12.75" outlineLevel="1">
      <c r="B76" s="69" t="s">
        <v>955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>
        <f t="shared" si="9"/>
        <v>0</v>
      </c>
      <c r="I76" s="125">
        <f t="shared" si="10"/>
        <v>0</v>
      </c>
    </row>
    <row r="77" spans="2:9" ht="12.75">
      <c r="B77" s="35" t="s">
        <v>547</v>
      </c>
      <c r="C77" s="118">
        <v>-268400</v>
      </c>
      <c r="D77" s="67">
        <v>0</v>
      </c>
      <c r="E77" s="125">
        <f t="shared" si="7"/>
        <v>-268400</v>
      </c>
      <c r="G77" s="118">
        <f t="shared" si="8"/>
        <v>-268400</v>
      </c>
      <c r="H77" s="67">
        <f t="shared" si="9"/>
        <v>0</v>
      </c>
      <c r="I77" s="125">
        <f t="shared" si="10"/>
        <v>-268400</v>
      </c>
    </row>
    <row r="78" spans="2:9" ht="12.75">
      <c r="B78" s="35" t="s">
        <v>548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12.75">
      <c r="B79" s="69" t="s">
        <v>958</v>
      </c>
      <c r="C79" s="118">
        <v>-65539</v>
      </c>
      <c r="D79" s="67">
        <v>0</v>
      </c>
      <c r="E79" s="125">
        <f t="shared" si="7"/>
        <v>-65539</v>
      </c>
      <c r="G79" s="118">
        <f t="shared" si="8"/>
        <v>-65539</v>
      </c>
      <c r="H79" s="67">
        <f t="shared" si="9"/>
        <v>0</v>
      </c>
      <c r="I79" s="125">
        <f t="shared" si="10"/>
        <v>-65539</v>
      </c>
    </row>
    <row r="80" spans="2:9" ht="12.75">
      <c r="B80" s="35" t="s">
        <v>550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12.75">
      <c r="B81" s="35" t="s">
        <v>528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12.75">
      <c r="B82" s="30" t="s">
        <v>543</v>
      </c>
      <c r="C82" s="120">
        <f>SUM(C72:C81)</f>
        <v>382795</v>
      </c>
      <c r="D82" s="40">
        <f>SUM(D72:D81)</f>
        <v>-6779</v>
      </c>
      <c r="E82" s="120">
        <f>SUM(E72:E81)</f>
        <v>376016</v>
      </c>
      <c r="G82" s="120">
        <f>SUM(G72:G81)</f>
        <v>382795</v>
      </c>
      <c r="H82" s="40">
        <f>SUM(H72:H81)</f>
        <v>-6779</v>
      </c>
      <c r="I82" s="120">
        <f>SUM(I72:I81)</f>
        <v>376016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551</v>
      </c>
      <c r="C84" s="118">
        <f>C60+C69+C82</f>
        <v>0</v>
      </c>
      <c r="D84" s="44">
        <f>D60+D69+D82</f>
        <v>-0.3979999999937718</v>
      </c>
      <c r="E84" s="118">
        <f>E60+E69+E82</f>
        <v>-0.39799999992828816</v>
      </c>
      <c r="G84" s="118">
        <f>G60+G69+G82</f>
        <v>0</v>
      </c>
      <c r="H84" s="44">
        <f>H60+H69+H82</f>
        <v>-0.3979999999937718</v>
      </c>
      <c r="I84" s="118">
        <f>I60+I69+I82</f>
        <v>-0.39799999992828816</v>
      </c>
    </row>
    <row r="85" spans="2:9" ht="12.7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v>0</v>
      </c>
      <c r="H85" s="48">
        <v>0</v>
      </c>
      <c r="I85" s="121">
        <f>G85+H85</f>
        <v>0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-0.3979999999937718</v>
      </c>
      <c r="E86" s="123">
        <f>SUM(E84:E85)</f>
        <v>-0.39799999992828816</v>
      </c>
      <c r="G86" s="123">
        <f>SUM(G84:G85)</f>
        <v>0</v>
      </c>
      <c r="H86" s="124">
        <f>SUM(H84:H85)</f>
        <v>-0.3979999999937718</v>
      </c>
      <c r="I86" s="123">
        <f>SUM(I84:I85)</f>
        <v>-0.39799999992828816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956</v>
      </c>
      <c r="D92" s="29" t="s">
        <v>956</v>
      </c>
      <c r="E92" s="28" t="s">
        <v>956</v>
      </c>
      <c r="G92" s="28" t="s">
        <v>956</v>
      </c>
      <c r="H92" s="29" t="s">
        <v>956</v>
      </c>
      <c r="I92" s="28" t="s">
        <v>956</v>
      </c>
      <c r="J92" s="157" t="s">
        <v>956</v>
      </c>
    </row>
    <row r="93" spans="2:10" ht="15">
      <c r="B93" s="33" t="s">
        <v>555</v>
      </c>
      <c r="C93" s="116" t="s">
        <v>500</v>
      </c>
      <c r="D93" s="117" t="s">
        <v>1595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1487</v>
      </c>
    </row>
    <row r="94" spans="2:10" ht="12.7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558</v>
      </c>
      <c r="C96" s="118">
        <v>2974899</v>
      </c>
      <c r="D96" s="67">
        <f>-D63-D46</f>
        <v>16894.655</v>
      </c>
      <c r="E96" s="125">
        <f>C96+D96</f>
        <v>2991793.655</v>
      </c>
      <c r="G96" s="118">
        <f>C96+J96</f>
        <v>2690590</v>
      </c>
      <c r="H96" s="67">
        <f>D96</f>
        <v>16894.655</v>
      </c>
      <c r="I96" s="125">
        <f>G96+H96</f>
        <v>2707484.655</v>
      </c>
      <c r="J96" s="159">
        <f>2690590-C96</f>
        <v>-284309</v>
      </c>
    </row>
    <row r="97" spans="2:10" ht="12.75">
      <c r="B97" s="35" t="s">
        <v>559</v>
      </c>
      <c r="C97" s="118">
        <v>734789</v>
      </c>
      <c r="D97" s="67">
        <v>0</v>
      </c>
      <c r="E97" s="125">
        <f>C97+D97</f>
        <v>734789</v>
      </c>
      <c r="G97" s="118">
        <f>C97+J97</f>
        <v>610961</v>
      </c>
      <c r="H97" s="67">
        <f>D97</f>
        <v>0</v>
      </c>
      <c r="I97" s="125">
        <f>G97+H97</f>
        <v>610961</v>
      </c>
      <c r="J97" s="159">
        <f>610961-C97</f>
        <v>-123828</v>
      </c>
    </row>
    <row r="98" spans="2:10" ht="12.75">
      <c r="B98" s="35" t="s">
        <v>560</v>
      </c>
      <c r="C98" s="118">
        <v>79024</v>
      </c>
      <c r="D98" s="67">
        <v>0</v>
      </c>
      <c r="E98" s="125">
        <f>C98+D98</f>
        <v>79024</v>
      </c>
      <c r="G98" s="118">
        <f>C98+J98</f>
        <v>96407</v>
      </c>
      <c r="H98" s="67">
        <f>D98</f>
        <v>0</v>
      </c>
      <c r="I98" s="125">
        <f>G98+H98</f>
        <v>96407</v>
      </c>
      <c r="J98" s="159">
        <f>96407-C98</f>
        <v>17383</v>
      </c>
    </row>
    <row r="99" spans="2:10" ht="12.7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3788712</v>
      </c>
      <c r="D100" s="40">
        <f>SUM(D96:D99)</f>
        <v>16894.655</v>
      </c>
      <c r="E100" s="120">
        <f>SUM(E96:E99)</f>
        <v>3805606.655</v>
      </c>
      <c r="G100" s="120">
        <f>SUM(G96:G99)</f>
        <v>3397958</v>
      </c>
      <c r="H100" s="40">
        <f>SUM(H96:H99)</f>
        <v>16894.655</v>
      </c>
      <c r="I100" s="120">
        <f>SUM(I96:I99)</f>
        <v>3414852.655</v>
      </c>
      <c r="J100" s="160">
        <f>SUM(J96:J99)</f>
        <v>-390754</v>
      </c>
    </row>
    <row r="101" spans="2:10" ht="12.7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563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12.75">
      <c r="B103" s="35" t="s">
        <v>564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12.75">
      <c r="B104" s="35" t="s">
        <v>565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12.75">
      <c r="B105" s="35" t="s">
        <v>566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12.75">
      <c r="B106" s="35" t="s">
        <v>567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12.75">
      <c r="B107" s="35" t="s">
        <v>568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12.75">
      <c r="B109" s="30" t="s">
        <v>556</v>
      </c>
      <c r="C109" s="120">
        <f>C100+C108</f>
        <v>3788712</v>
      </c>
      <c r="D109" s="40">
        <f>D100+D108</f>
        <v>16894.655</v>
      </c>
      <c r="E109" s="120">
        <f>E100+E108</f>
        <v>3805606.655</v>
      </c>
      <c r="G109" s="120">
        <f>G100+G108</f>
        <v>3397958</v>
      </c>
      <c r="H109" s="40">
        <f>H100+H108</f>
        <v>16894.655</v>
      </c>
      <c r="I109" s="120">
        <f>I100+I108</f>
        <v>3414852.655</v>
      </c>
      <c r="J109" s="160">
        <f>J100+J108</f>
        <v>-390754</v>
      </c>
    </row>
    <row r="110" spans="2:10" ht="12.7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12.75">
      <c r="B112" s="35" t="s">
        <v>571</v>
      </c>
      <c r="C112" s="118">
        <v>30000</v>
      </c>
      <c r="D112" s="67">
        <v>0</v>
      </c>
      <c r="E112" s="125">
        <f aca="true" t="shared" si="15" ref="E112:E118">C112+D112</f>
        <v>30000</v>
      </c>
      <c r="G112" s="118">
        <f aca="true" t="shared" si="16" ref="G112:G119">C112+J112</f>
        <v>55877</v>
      </c>
      <c r="H112" s="67">
        <f aca="true" t="shared" si="17" ref="H112:H118">D112</f>
        <v>0</v>
      </c>
      <c r="I112" s="125">
        <f aca="true" t="shared" si="18" ref="I112:I118">G112+H112</f>
        <v>55877</v>
      </c>
      <c r="J112" s="159">
        <f>55877-C112</f>
        <v>25877</v>
      </c>
    </row>
    <row r="113" spans="2:10" ht="12.75">
      <c r="B113" s="35" t="s">
        <v>572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8922</v>
      </c>
      <c r="H113" s="67">
        <f t="shared" si="17"/>
        <v>0</v>
      </c>
      <c r="I113" s="125">
        <f t="shared" si="18"/>
        <v>8922</v>
      </c>
      <c r="J113" s="159">
        <f>8922</f>
        <v>8922</v>
      </c>
    </row>
    <row r="114" spans="2:10" ht="12.75">
      <c r="B114" s="35" t="s">
        <v>573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12.75">
      <c r="B115" s="35" t="s">
        <v>574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12.75">
      <c r="B116" s="35" t="s">
        <v>575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12.75">
      <c r="B117" s="35" t="s">
        <v>576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12.75">
      <c r="B118" s="35" t="s">
        <v>577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12.75">
      <c r="B119" s="35" t="s">
        <v>41</v>
      </c>
      <c r="C119" s="118">
        <f>C86</f>
        <v>0</v>
      </c>
      <c r="D119" s="44">
        <f>D84</f>
        <v>-0.3979999999937718</v>
      </c>
      <c r="E119" s="118">
        <f>E86</f>
        <v>-0.39799999992828816</v>
      </c>
      <c r="G119" s="118">
        <f t="shared" si="16"/>
        <v>0</v>
      </c>
      <c r="H119" s="44">
        <f>H84</f>
        <v>-0.3979999999937718</v>
      </c>
      <c r="I119" s="118">
        <f>I86</f>
        <v>-0.39799999992828816</v>
      </c>
      <c r="J119" s="159">
        <v>0</v>
      </c>
    </row>
    <row r="120" spans="2:10" ht="12.75">
      <c r="B120" s="30" t="s">
        <v>569</v>
      </c>
      <c r="C120" s="120">
        <f>SUM(C111:C119)</f>
        <v>30000</v>
      </c>
      <c r="D120" s="40">
        <f>SUM(D111:D119)</f>
        <v>-0.3979999999937718</v>
      </c>
      <c r="E120" s="120">
        <f>SUM(E111:E119)</f>
        <v>29999.60200000007</v>
      </c>
      <c r="G120" s="120">
        <f>SUM(G111:G119)</f>
        <v>64799</v>
      </c>
      <c r="H120" s="40">
        <f>SUM(H111:H119)</f>
        <v>-0.3979999999937718</v>
      </c>
      <c r="I120" s="120">
        <f>SUM(I111:I119)</f>
        <v>64798.60200000007</v>
      </c>
      <c r="J120" s="160">
        <f>SUM(J111:J119)</f>
        <v>34799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3818712</v>
      </c>
      <c r="D122" s="128">
        <f>D109+D120</f>
        <v>16894.257000000005</v>
      </c>
      <c r="E122" s="127">
        <f>E109+E120</f>
        <v>3835606.2569999998</v>
      </c>
      <c r="G122" s="127">
        <f>G109+G120</f>
        <v>3462757</v>
      </c>
      <c r="H122" s="128">
        <f>H109+H120</f>
        <v>16894.257000000005</v>
      </c>
      <c r="I122" s="127">
        <f>I109+I120</f>
        <v>3479651.2569999998</v>
      </c>
      <c r="J122" s="161">
        <f>J109+J120</f>
        <v>-355955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12.7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12.75">
      <c r="B130" s="66"/>
      <c r="C130" s="28" t="s">
        <v>956</v>
      </c>
      <c r="D130" s="29" t="s">
        <v>956</v>
      </c>
      <c r="E130" s="28" t="s">
        <v>956</v>
      </c>
      <c r="G130" s="28" t="s">
        <v>956</v>
      </c>
      <c r="H130" s="29" t="s">
        <v>956</v>
      </c>
      <c r="I130" s="28" t="s">
        <v>956</v>
      </c>
      <c r="J130" s="157" t="s">
        <v>956</v>
      </c>
    </row>
    <row r="131" spans="2:10" ht="15">
      <c r="B131" s="33" t="s">
        <v>579</v>
      </c>
      <c r="C131" s="116" t="s">
        <v>500</v>
      </c>
      <c r="D131" s="117" t="s">
        <v>1594</v>
      </c>
      <c r="E131" s="116" t="s">
        <v>501</v>
      </c>
      <c r="G131" s="116" t="s">
        <v>500</v>
      </c>
      <c r="H131" s="117" t="s">
        <v>1486</v>
      </c>
      <c r="I131" s="116" t="s">
        <v>501</v>
      </c>
      <c r="J131" s="158" t="s">
        <v>1487</v>
      </c>
    </row>
    <row r="132" spans="2:10" ht="12.7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581</v>
      </c>
      <c r="C133" s="118">
        <v>532677</v>
      </c>
      <c r="D133" s="67">
        <f>D45</f>
        <v>23673.257000000005</v>
      </c>
      <c r="E133" s="125">
        <f>C133+D133</f>
        <v>556350.257</v>
      </c>
      <c r="G133" s="118">
        <f>C133+J133</f>
        <v>689381</v>
      </c>
      <c r="H133" s="67">
        <f>H45</f>
        <v>23673.257000000005</v>
      </c>
      <c r="I133" s="125">
        <f>G133+H133</f>
        <v>713054.257</v>
      </c>
      <c r="J133" s="159">
        <f>689381-C133</f>
        <v>156704</v>
      </c>
    </row>
    <row r="134" spans="2:10" ht="12.7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12.7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580</v>
      </c>
      <c r="C136" s="120">
        <f>SUM(C133:C135)</f>
        <v>532677</v>
      </c>
      <c r="D136" s="40">
        <f>SUM(D133:D135)</f>
        <v>23673.257000000005</v>
      </c>
      <c r="E136" s="120">
        <f>SUM(E133:E135)</f>
        <v>556350.257</v>
      </c>
      <c r="G136" s="120">
        <f>SUM(G133:G135)</f>
        <v>689381</v>
      </c>
      <c r="H136" s="40">
        <f>SUM(H133:H135)</f>
        <v>23673.257000000005</v>
      </c>
      <c r="I136" s="120">
        <f>SUM(I133:I135)</f>
        <v>713054.257</v>
      </c>
      <c r="J136" s="160">
        <f>SUM(J133:J135)</f>
        <v>156704</v>
      </c>
    </row>
    <row r="137" spans="2:10" ht="12.7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585</v>
      </c>
      <c r="C138" s="118">
        <v>40151</v>
      </c>
      <c r="D138" s="67">
        <f>D50</f>
        <v>0</v>
      </c>
      <c r="E138" s="125">
        <f>C138+D138</f>
        <v>40151</v>
      </c>
      <c r="G138" s="118">
        <f>C138+J138</f>
        <v>50438</v>
      </c>
      <c r="H138" s="67">
        <f>H50</f>
        <v>0</v>
      </c>
      <c r="I138" s="125">
        <f>G138+H138</f>
        <v>50438</v>
      </c>
      <c r="J138" s="159">
        <f>50438-C138</f>
        <v>10287</v>
      </c>
    </row>
    <row r="139" spans="2:10" ht="12.7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584</v>
      </c>
      <c r="C140" s="120">
        <f>SUM(C138:C139)</f>
        <v>40151</v>
      </c>
      <c r="D140" s="40">
        <f>SUM(D138:D139)</f>
        <v>0</v>
      </c>
      <c r="E140" s="120">
        <f>SUM(E138:E139)</f>
        <v>40151</v>
      </c>
      <c r="G140" s="120">
        <f>SUM(G138:G139)</f>
        <v>50438</v>
      </c>
      <c r="H140" s="40">
        <f>SUM(H138:H139)</f>
        <v>0</v>
      </c>
      <c r="I140" s="120">
        <f>SUM(I138:I139)</f>
        <v>50438</v>
      </c>
      <c r="J140" s="160">
        <f>SUM(J138:J139)</f>
        <v>10287</v>
      </c>
    </row>
    <row r="141" spans="2:10" ht="12.7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588</v>
      </c>
      <c r="C142" s="118">
        <v>1035273</v>
      </c>
      <c r="D142" s="67">
        <f>D47</f>
        <v>0</v>
      </c>
      <c r="E142" s="125">
        <f>C142+D142</f>
        <v>1035273</v>
      </c>
      <c r="G142" s="118">
        <f>C142+J142</f>
        <v>1188994</v>
      </c>
      <c r="H142" s="1">
        <f>D142</f>
        <v>0</v>
      </c>
      <c r="I142" s="125">
        <f>G142+H142</f>
        <v>1188994</v>
      </c>
      <c r="J142" s="159">
        <f>1188994-C142</f>
        <v>153721</v>
      </c>
    </row>
    <row r="143" spans="2:10" ht="12.7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590</v>
      </c>
      <c r="C144" s="118">
        <v>1798669</v>
      </c>
      <c r="D144" s="1">
        <v>0</v>
      </c>
      <c r="E144" s="125">
        <f>C144+D144</f>
        <v>1798669</v>
      </c>
      <c r="G144" s="118">
        <f>C144+J144</f>
        <v>1183390</v>
      </c>
      <c r="H144" s="1">
        <f>D144</f>
        <v>0</v>
      </c>
      <c r="I144" s="125">
        <f>G144+H144</f>
        <v>1183390</v>
      </c>
      <c r="J144" s="159">
        <f>1183390-C144</f>
        <v>-615279</v>
      </c>
    </row>
    <row r="145" spans="2:10" ht="12.7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587</v>
      </c>
      <c r="C146" s="120">
        <f>SUM(C142:C145)</f>
        <v>2833942</v>
      </c>
      <c r="D146" s="40">
        <f>SUM(D142:D145)</f>
        <v>0</v>
      </c>
      <c r="E146" s="120">
        <f>SUM(E142:E145)</f>
        <v>2833942</v>
      </c>
      <c r="G146" s="120">
        <f>SUM(G142:G145)</f>
        <v>2372384</v>
      </c>
      <c r="H146" s="40">
        <f>SUM(H142:H145)</f>
        <v>0</v>
      </c>
      <c r="I146" s="120">
        <f>SUM(I142:I145)</f>
        <v>2372384</v>
      </c>
      <c r="J146" s="160">
        <f>SUM(J142:J145)</f>
        <v>-461558</v>
      </c>
    </row>
    <row r="147" spans="2:10" ht="12.7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593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 aca="true" t="shared" si="20" ref="G149:G157">C149+J149</f>
        <v>0</v>
      </c>
      <c r="H149" s="1">
        <f aca="true" t="shared" si="21" ref="H149:H157">D149</f>
        <v>0</v>
      </c>
      <c r="I149" s="125">
        <f aca="true" t="shared" si="22" ref="I149:I157">G149+H149</f>
        <v>0</v>
      </c>
      <c r="J149" s="159">
        <v>0</v>
      </c>
    </row>
    <row r="150" spans="2:10" ht="12.75">
      <c r="B150" s="35" t="s">
        <v>590</v>
      </c>
      <c r="C150" s="118">
        <v>69228</v>
      </c>
      <c r="D150" s="67">
        <f>D73</f>
        <v>-6779</v>
      </c>
      <c r="E150" s="125">
        <f t="shared" si="19"/>
        <v>62449</v>
      </c>
      <c r="G150" s="118">
        <f t="shared" si="20"/>
        <v>0</v>
      </c>
      <c r="H150" s="1">
        <f t="shared" si="21"/>
        <v>-6779</v>
      </c>
      <c r="I150" s="125">
        <f t="shared" si="22"/>
        <v>-6779</v>
      </c>
      <c r="J150" s="159">
        <f>0-C150</f>
        <v>-69228</v>
      </c>
    </row>
    <row r="151" spans="2:10" ht="12.75">
      <c r="B151" s="35" t="s">
        <v>594</v>
      </c>
      <c r="C151" s="118">
        <v>214370</v>
      </c>
      <c r="D151" s="1">
        <v>0</v>
      </c>
      <c r="E151" s="125">
        <f t="shared" si="19"/>
        <v>214370</v>
      </c>
      <c r="G151" s="118">
        <f t="shared" si="20"/>
        <v>264581</v>
      </c>
      <c r="H151" s="1">
        <f t="shared" si="21"/>
        <v>0</v>
      </c>
      <c r="I151" s="125">
        <f t="shared" si="22"/>
        <v>264581</v>
      </c>
      <c r="J151" s="159">
        <f>264581-C151</f>
        <v>50211</v>
      </c>
    </row>
    <row r="152" spans="2:10" ht="12.75">
      <c r="B152" s="69" t="s">
        <v>595</v>
      </c>
      <c r="C152" s="118">
        <v>2304</v>
      </c>
      <c r="D152" s="1">
        <v>0</v>
      </c>
      <c r="E152" s="125">
        <f t="shared" si="19"/>
        <v>2304</v>
      </c>
      <c r="G152" s="118">
        <f t="shared" si="20"/>
        <v>1800</v>
      </c>
      <c r="H152" s="1">
        <f t="shared" si="21"/>
        <v>0</v>
      </c>
      <c r="I152" s="125">
        <f t="shared" si="22"/>
        <v>1800</v>
      </c>
      <c r="J152" s="159">
        <f>1800-C152</f>
        <v>-504</v>
      </c>
    </row>
    <row r="153" spans="2:10" ht="12.75">
      <c r="B153" s="35" t="s">
        <v>596</v>
      </c>
      <c r="C153" s="118">
        <v>0</v>
      </c>
      <c r="D153" s="1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12.75">
      <c r="B154" s="35" t="s">
        <v>597</v>
      </c>
      <c r="C154" s="118">
        <v>94040</v>
      </c>
      <c r="D154" s="1">
        <v>0</v>
      </c>
      <c r="E154" s="125">
        <f t="shared" si="19"/>
        <v>94040</v>
      </c>
      <c r="G154" s="118">
        <f t="shared" si="20"/>
        <v>52313</v>
      </c>
      <c r="H154" s="1">
        <f t="shared" si="21"/>
        <v>0</v>
      </c>
      <c r="I154" s="125">
        <f t="shared" si="22"/>
        <v>52313</v>
      </c>
      <c r="J154" s="159">
        <f>52313-C154</f>
        <v>-41727</v>
      </c>
    </row>
    <row r="155" spans="2:10" ht="12.75">
      <c r="B155" s="35" t="s">
        <v>598</v>
      </c>
      <c r="C155" s="118">
        <v>0</v>
      </c>
      <c r="D155" s="1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12.75">
      <c r="B156" s="35" t="s">
        <v>599</v>
      </c>
      <c r="C156" s="118">
        <v>32000</v>
      </c>
      <c r="D156" s="1">
        <v>0</v>
      </c>
      <c r="E156" s="125">
        <f t="shared" si="19"/>
        <v>32000</v>
      </c>
      <c r="G156" s="118">
        <f t="shared" si="20"/>
        <v>31860</v>
      </c>
      <c r="H156" s="1">
        <f t="shared" si="21"/>
        <v>0</v>
      </c>
      <c r="I156" s="125">
        <f t="shared" si="22"/>
        <v>31860</v>
      </c>
      <c r="J156" s="159">
        <f>31860-C156</f>
        <v>-140</v>
      </c>
    </row>
    <row r="157" spans="2:10" ht="12.75">
      <c r="B157" s="35" t="s">
        <v>600</v>
      </c>
      <c r="C157" s="118">
        <v>0</v>
      </c>
      <c r="D157" s="1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12.75">
      <c r="B158" s="30" t="s">
        <v>592</v>
      </c>
      <c r="C158" s="120">
        <f>SUM(C148:C157)</f>
        <v>411942</v>
      </c>
      <c r="D158" s="40">
        <f>SUM(D148:D157)</f>
        <v>-6779</v>
      </c>
      <c r="E158" s="120">
        <f>SUM(E148:E157)</f>
        <v>405163</v>
      </c>
      <c r="G158" s="120">
        <f>SUM(G148:G157)</f>
        <v>350554</v>
      </c>
      <c r="H158" s="40">
        <f>SUM(H148:H157)</f>
        <v>-6779</v>
      </c>
      <c r="I158" s="120">
        <f>SUM(I148:I157)</f>
        <v>343775</v>
      </c>
      <c r="J158" s="160">
        <f>SUM(J148:J157)</f>
        <v>-61388</v>
      </c>
    </row>
    <row r="159" spans="2:10" ht="12.75">
      <c r="B159" s="30"/>
      <c r="C159" s="118"/>
      <c r="D159" s="1"/>
      <c r="E159" s="114"/>
      <c r="G159" s="118"/>
      <c r="H159" s="1"/>
      <c r="I159" s="114"/>
      <c r="J159" s="159"/>
    </row>
    <row r="160" spans="2:10" ht="12.75">
      <c r="B160" s="57" t="s">
        <v>601</v>
      </c>
      <c r="C160" s="120">
        <f>C140+C146+C158</f>
        <v>3286035</v>
      </c>
      <c r="D160" s="40">
        <f>D140+D146+D158</f>
        <v>-6779</v>
      </c>
      <c r="E160" s="120">
        <f>E140+E146+E158</f>
        <v>3279256</v>
      </c>
      <c r="G160" s="120">
        <f>G140+G146+G158</f>
        <v>2773376</v>
      </c>
      <c r="H160" s="40">
        <f>H140+H146+H158</f>
        <v>-6779</v>
      </c>
      <c r="I160" s="120">
        <f>I140+I146+I158</f>
        <v>2766597</v>
      </c>
      <c r="J160" s="160">
        <f>J140+J146+J158</f>
        <v>-512659</v>
      </c>
    </row>
    <row r="161" spans="2:10" ht="12.7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3818712</v>
      </c>
      <c r="D162" s="127">
        <f>D136+D160</f>
        <v>16894.257000000005</v>
      </c>
      <c r="E162" s="127">
        <f>E136+E160</f>
        <v>3835606.257</v>
      </c>
      <c r="G162" s="127">
        <f>G136+G160</f>
        <v>3462757</v>
      </c>
      <c r="H162" s="128">
        <f>H136+H160</f>
        <v>16894.257000000005</v>
      </c>
      <c r="I162" s="127">
        <f>I136+I160</f>
        <v>3479651.257</v>
      </c>
      <c r="J162" s="161">
        <f>J136+J160</f>
        <v>-355955</v>
      </c>
    </row>
    <row r="163" spans="8:10" ht="13.5" thickTop="1">
      <c r="H163" s="1"/>
      <c r="J163" s="3"/>
    </row>
    <row r="164" spans="8:10" ht="12.75">
      <c r="H164" s="1"/>
      <c r="J164" s="3"/>
    </row>
    <row r="165" spans="2:10" ht="12.75" outlineLevel="1">
      <c r="B165" t="s">
        <v>603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B75">
      <selection activeCell="D74" sqref="D74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959</v>
      </c>
      <c r="D5" s="29" t="s">
        <v>963</v>
      </c>
      <c r="E5" s="28" t="s">
        <v>963</v>
      </c>
      <c r="G5" s="28" t="s">
        <v>963</v>
      </c>
      <c r="H5" s="29" t="s">
        <v>963</v>
      </c>
      <c r="I5" s="28" t="s">
        <v>963</v>
      </c>
    </row>
    <row r="6" spans="2:9" ht="15">
      <c r="B6" s="30" t="s">
        <v>499</v>
      </c>
      <c r="C6" s="116" t="s">
        <v>500</v>
      </c>
      <c r="D6" s="117" t="s">
        <v>1595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nr.2'!O1767/1000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503</v>
      </c>
      <c r="C9" s="118">
        <v>0</v>
      </c>
      <c r="D9" s="67">
        <f>-'Sundurliðun viðauka nr.2'!O1768/1000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504</v>
      </c>
      <c r="C10" s="118">
        <v>101901</v>
      </c>
      <c r="D10" s="67">
        <f>0/1000-('Sundurliðun viðauka nr.2'!O1769+'Sundurliðun viðauka nr.2'!O1770+'Sundurliðun viðauka nr.2'!O1772+'Sundurliðun viðauka nr.2'!O1773)/1000</f>
        <v>5867</v>
      </c>
      <c r="E10" s="119">
        <f>C10+D10</f>
        <v>107768</v>
      </c>
      <c r="G10" s="118">
        <f t="shared" si="0"/>
        <v>101901</v>
      </c>
      <c r="H10" s="67">
        <f t="shared" si="0"/>
        <v>5867</v>
      </c>
      <c r="I10" s="119">
        <f>G10+H10</f>
        <v>107768</v>
      </c>
    </row>
    <row r="11" spans="2:9" ht="12.75">
      <c r="B11" s="38"/>
      <c r="C11" s="120">
        <f>SUM(C8:C10)</f>
        <v>101901</v>
      </c>
      <c r="D11" s="40">
        <f>SUM(D8:D10)</f>
        <v>5867</v>
      </c>
      <c r="E11" s="120">
        <f>SUM(E8:E10)</f>
        <v>107768</v>
      </c>
      <c r="G11" s="120">
        <f>SUM(G8:G10)</f>
        <v>101901</v>
      </c>
      <c r="H11" s="40">
        <f>SUM(H8:H10)</f>
        <v>5867</v>
      </c>
      <c r="I11" s="120">
        <f>SUM(I8:I10)</f>
        <v>107768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66</v>
      </c>
      <c r="D14" s="67">
        <f>1671/1000+'Sundurliðun viðauka nr.2'!O1774/1000</f>
        <v>1.671</v>
      </c>
      <c r="E14" s="119">
        <f>C14+D14</f>
        <v>67.671</v>
      </c>
      <c r="G14" s="118">
        <f aca="true" t="shared" si="1" ref="G14:H16">C14</f>
        <v>66</v>
      </c>
      <c r="H14" s="67">
        <f t="shared" si="1"/>
        <v>1.671</v>
      </c>
      <c r="I14" s="119">
        <f>G14+H14</f>
        <v>67.671</v>
      </c>
    </row>
    <row r="15" spans="2:9" ht="12.75">
      <c r="B15" s="35" t="s">
        <v>507</v>
      </c>
      <c r="C15" s="118">
        <v>40323</v>
      </c>
      <c r="D15" s="67">
        <f>0/1000+('Sundurliðun viðauka nr.2'!O1775+'Sundurliðun viðauka nr.2'!O1776+'Sundurliðun viðauka nr.2'!O1777+'Sundurliðun viðauka nr.2'!O1778+'Sundurliðun viðauka nr.2'!O1779+'Sundurliðun viðauka nr.2'!O1780+'Sundurliðun viðauka nr.2'!O1781)/1000</f>
        <v>-165</v>
      </c>
      <c r="E15" s="119">
        <f>C15+D15</f>
        <v>40158</v>
      </c>
      <c r="G15" s="118">
        <f t="shared" si="1"/>
        <v>40323</v>
      </c>
      <c r="H15" s="67">
        <f t="shared" si="1"/>
        <v>-165</v>
      </c>
      <c r="I15" s="119">
        <f>G15+H15</f>
        <v>40158</v>
      </c>
    </row>
    <row r="16" spans="2:9" ht="12.75">
      <c r="B16" s="35" t="s">
        <v>508</v>
      </c>
      <c r="C16" s="118">
        <v>0</v>
      </c>
      <c r="D16" s="67">
        <f>'Sundurliðun viðauka nr.2'!O1783/1000</f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40389</v>
      </c>
      <c r="D17" s="40">
        <f>SUM(D14:D16)</f>
        <v>-163.329</v>
      </c>
      <c r="E17" s="120">
        <f>SUM(E14:E16)</f>
        <v>40225.671</v>
      </c>
      <c r="G17" s="120">
        <f>SUM(G14:G16)</f>
        <v>40389</v>
      </c>
      <c r="H17" s="40">
        <f>SUM(H14:H16)</f>
        <v>-163.329</v>
      </c>
      <c r="I17" s="120">
        <f>SUM(I14:I16)</f>
        <v>40225.671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0.6036447139871052</v>
      </c>
      <c r="D19" s="71" t="s">
        <v>1</v>
      </c>
      <c r="E19" s="68">
        <f>(E11-E17)/E11</f>
        <v>0.626738261821691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38271</v>
      </c>
      <c r="D20" s="67">
        <f>'Sundurliðun viðauka nr.2'!O1782/1000</f>
        <v>303.707</v>
      </c>
      <c r="E20" s="119">
        <f>C20+D20</f>
        <v>38574.707</v>
      </c>
      <c r="G20" s="118">
        <f>C20</f>
        <v>38271</v>
      </c>
      <c r="H20" s="67">
        <f>D20</f>
        <v>303.707</v>
      </c>
      <c r="I20" s="119">
        <f>G20+H20</f>
        <v>38574.707</v>
      </c>
    </row>
    <row r="21" spans="2:9" ht="12.75">
      <c r="B21" s="35" t="s">
        <v>511</v>
      </c>
      <c r="C21" s="120">
        <f>C11-C17-C20</f>
        <v>23241</v>
      </c>
      <c r="D21" s="40">
        <f>D11-D17-D20</f>
        <v>5726.621999999999</v>
      </c>
      <c r="E21" s="120">
        <f>E11-E17-E20</f>
        <v>28967.621999999996</v>
      </c>
      <c r="G21" s="120">
        <f>G11-G17-G20</f>
        <v>23241</v>
      </c>
      <c r="H21" s="40">
        <f>H11-H17-H20</f>
        <v>5726.621999999999</v>
      </c>
      <c r="I21" s="120">
        <f>I11-I17-I20</f>
        <v>28967.621999999996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-28787</v>
      </c>
      <c r="D24" s="40">
        <f>-'Sundurliðun viðauka nr.2'!O1784/1000</f>
        <v>0</v>
      </c>
      <c r="E24" s="120">
        <f>C24+D24</f>
        <v>-28787</v>
      </c>
      <c r="G24" s="120">
        <f>C24</f>
        <v>-28787</v>
      </c>
      <c r="H24" s="40">
        <f>D24</f>
        <v>0</v>
      </c>
      <c r="I24" s="120">
        <f>G24+H24</f>
        <v>-28787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-5546</v>
      </c>
      <c r="D26" s="44">
        <f>D21+D24</f>
        <v>5726.621999999999</v>
      </c>
      <c r="E26" s="118">
        <f>E21+E24</f>
        <v>180.62199999999575</v>
      </c>
      <c r="G26" s="118"/>
      <c r="H26" s="44"/>
      <c r="I26" s="118"/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-5546</v>
      </c>
      <c r="D30" s="44">
        <f>D26+D29</f>
        <v>5726.621999999999</v>
      </c>
      <c r="E30" s="118">
        <f>E26+E29</f>
        <v>180.62199999999575</v>
      </c>
      <c r="G30" s="118">
        <f>G21+G24+G29</f>
        <v>-5546</v>
      </c>
      <c r="H30" s="44">
        <f>H21+H24+H29</f>
        <v>5726.621999999999</v>
      </c>
      <c r="I30" s="118">
        <f>I21+I24+I29</f>
        <v>180.62199999999575</v>
      </c>
    </row>
    <row r="31" spans="2:9" ht="12.7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-5546</v>
      </c>
      <c r="D33" s="124">
        <f>SUM(D30:D32)</f>
        <v>5726.621999999999</v>
      </c>
      <c r="E33" s="123">
        <f>SUM(E30:E32)</f>
        <v>180.62199999999575</v>
      </c>
      <c r="G33" s="123">
        <f>SUM(G30:G32)</f>
        <v>-5546</v>
      </c>
      <c r="H33" s="124">
        <f>SUM(H30:H32)</f>
        <v>5726.621999999999</v>
      </c>
      <c r="I33" s="123">
        <f>SUM(I30:I32)</f>
        <v>180.62199999999575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964</v>
      </c>
      <c r="D42" s="29" t="s">
        <v>964</v>
      </c>
      <c r="E42" s="28" t="s">
        <v>964</v>
      </c>
      <c r="G42" s="28" t="s">
        <v>963</v>
      </c>
      <c r="H42" s="29" t="s">
        <v>963</v>
      </c>
      <c r="I42" s="28" t="s">
        <v>963</v>
      </c>
    </row>
    <row r="43" spans="2:9" ht="15">
      <c r="B43" s="30" t="s">
        <v>520</v>
      </c>
      <c r="C43" s="116" t="s">
        <v>500</v>
      </c>
      <c r="D43" s="117" t="s">
        <v>1595</v>
      </c>
      <c r="E43" s="116" t="s">
        <v>501</v>
      </c>
      <c r="G43" s="116" t="s">
        <v>500</v>
      </c>
      <c r="H43" s="117" t="s">
        <v>1486</v>
      </c>
      <c r="I43" s="116" t="s">
        <v>501</v>
      </c>
    </row>
    <row r="44" spans="2:9" ht="12.75">
      <c r="B44" s="33" t="s">
        <v>521</v>
      </c>
      <c r="C44" s="55"/>
      <c r="E44" s="114"/>
      <c r="G44" s="55"/>
      <c r="H44" s="1"/>
      <c r="I44" s="114"/>
    </row>
    <row r="45" spans="2:9" ht="12.75">
      <c r="B45" s="35" t="s">
        <v>522</v>
      </c>
      <c r="C45" s="118">
        <f>C33</f>
        <v>-5546</v>
      </c>
      <c r="D45" s="44">
        <f>D33</f>
        <v>5726.621999999999</v>
      </c>
      <c r="E45" s="118">
        <f>E33</f>
        <v>180.62199999999575</v>
      </c>
      <c r="G45" s="118">
        <f>G33</f>
        <v>-5546</v>
      </c>
      <c r="H45" s="44">
        <f>H33</f>
        <v>5726.621999999999</v>
      </c>
      <c r="I45" s="118">
        <f>I33</f>
        <v>180.62199999999575</v>
      </c>
    </row>
    <row r="46" spans="2:9" ht="12.75">
      <c r="B46" s="35" t="s">
        <v>523</v>
      </c>
      <c r="C46" s="118">
        <f>C20</f>
        <v>38271</v>
      </c>
      <c r="D46" s="44">
        <f>D20</f>
        <v>303.707</v>
      </c>
      <c r="E46" s="118">
        <f>E20</f>
        <v>38574.707</v>
      </c>
      <c r="G46" s="118">
        <f>G20</f>
        <v>38271</v>
      </c>
      <c r="H46" s="44">
        <f>H20</f>
        <v>303.707</v>
      </c>
      <c r="I46" s="118">
        <f>I20</f>
        <v>38574.707</v>
      </c>
    </row>
    <row r="47" spans="2:9" ht="12.75">
      <c r="B47" s="35" t="s">
        <v>524</v>
      </c>
      <c r="C47" s="118">
        <v>14681</v>
      </c>
      <c r="D47" s="1">
        <v>0</v>
      </c>
      <c r="E47" s="125">
        <f>C47+D47</f>
        <v>14681</v>
      </c>
      <c r="G47" s="118">
        <f aca="true" t="shared" si="2" ref="G47:H49">C47</f>
        <v>14681</v>
      </c>
      <c r="H47" s="67">
        <f t="shared" si="2"/>
        <v>0</v>
      </c>
      <c r="I47" s="125">
        <f>G47+H47</f>
        <v>14681</v>
      </c>
    </row>
    <row r="48" spans="2:9" ht="12.7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12.7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12.75">
      <c r="B50" s="35" t="s">
        <v>527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12.7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12.75">
      <c r="B52" s="57" t="s">
        <v>529</v>
      </c>
      <c r="C52" s="120">
        <f>SUM(C45:C51)</f>
        <v>47406</v>
      </c>
      <c r="D52" s="40">
        <f>SUM(D45:D51)</f>
        <v>6030.329</v>
      </c>
      <c r="E52" s="120">
        <f>SUM(E45:E51)</f>
        <v>53436.329</v>
      </c>
      <c r="G52" s="120">
        <f>SUM(G45:G51)</f>
        <v>47406</v>
      </c>
      <c r="H52" s="40">
        <f>SUM(H45:H51)</f>
        <v>6030.329</v>
      </c>
      <c r="I52" s="120">
        <f>SUM(I45:I51)</f>
        <v>53436.329</v>
      </c>
    </row>
    <row r="53" spans="2:9" ht="12.75">
      <c r="B53" s="58" t="s">
        <v>530</v>
      </c>
      <c r="C53" s="118"/>
      <c r="D53" s="1"/>
      <c r="E53" s="114"/>
      <c r="G53" s="118"/>
      <c r="H53" s="1"/>
      <c r="I53" s="114"/>
    </row>
    <row r="54" spans="2:9" ht="12.7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12.7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f t="shared" si="3"/>
        <v>0</v>
      </c>
      <c r="H55" s="1">
        <f t="shared" si="3"/>
        <v>0</v>
      </c>
      <c r="I55" s="125">
        <f>G55+H55</f>
        <v>0</v>
      </c>
    </row>
    <row r="56" spans="2:9" ht="12.7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12.7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f t="shared" si="3"/>
        <v>0</v>
      </c>
      <c r="H57" s="1">
        <f t="shared" si="3"/>
        <v>0</v>
      </c>
      <c r="I57" s="125">
        <f>G57+H57</f>
        <v>0</v>
      </c>
    </row>
    <row r="58" spans="2:9" ht="12.75">
      <c r="B58" s="35" t="s">
        <v>535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</row>
    <row r="59" spans="2:9" ht="12.7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536</v>
      </c>
      <c r="C60" s="123">
        <f>C52+C59</f>
        <v>47406</v>
      </c>
      <c r="D60" s="124">
        <f>D52+D59</f>
        <v>6030.329</v>
      </c>
      <c r="E60" s="123">
        <f>E52+E59</f>
        <v>53436.329</v>
      </c>
      <c r="G60" s="123">
        <f>G52+G59</f>
        <v>47406</v>
      </c>
      <c r="H60" s="124">
        <f>H52+H59</f>
        <v>6030.329</v>
      </c>
      <c r="I60" s="123">
        <f>I52+I59</f>
        <v>53436.329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537</v>
      </c>
      <c r="C62" s="60"/>
      <c r="D62" s="1"/>
      <c r="E62" s="114"/>
      <c r="G62" s="60"/>
      <c r="H62" s="1"/>
      <c r="I62" s="114"/>
    </row>
    <row r="63" spans="2:9" ht="12.75">
      <c r="B63" s="35" t="s">
        <v>538</v>
      </c>
      <c r="C63" s="118">
        <v>0</v>
      </c>
      <c r="D63" s="67">
        <f>-(116000000)/1000-'Sundurliðun viðauka nr.2'!O1798/1000</f>
        <v>-116000</v>
      </c>
      <c r="E63" s="125">
        <f aca="true" t="shared" si="4" ref="E63:E68">C63+D63</f>
        <v>-116000</v>
      </c>
      <c r="G63" s="118">
        <f>C63</f>
        <v>0</v>
      </c>
      <c r="H63" s="67">
        <f aca="true" t="shared" si="5" ref="H63:H68">D63</f>
        <v>-116000</v>
      </c>
      <c r="I63" s="125">
        <f aca="true" t="shared" si="6" ref="I63:I68">G63+H63</f>
        <v>-116000</v>
      </c>
    </row>
    <row r="64" spans="2:9" ht="12.75" hidden="1" outlineLevel="1">
      <c r="B64" s="35" t="s">
        <v>539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</row>
    <row r="65" spans="2:9" ht="12.75" hidden="1" outlineLevel="1">
      <c r="B65" s="35" t="s">
        <v>540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</row>
    <row r="66" spans="2:9" ht="12.75" collapsed="1">
      <c r="B66" s="35" t="s">
        <v>541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</row>
    <row r="67" spans="2:9" ht="12.75" hidden="1" outlineLevel="1">
      <c r="B67" s="35" t="s">
        <v>542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</row>
    <row r="68" spans="2:9" ht="12.75" hidden="1" outlineLevel="1">
      <c r="B68" s="35" t="s">
        <v>528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</row>
    <row r="69" spans="2:9" ht="12.75" collapsed="1">
      <c r="B69" s="30" t="s">
        <v>537</v>
      </c>
      <c r="C69" s="120">
        <f>SUM(C63:C68)</f>
        <v>0</v>
      </c>
      <c r="D69" s="40">
        <f>SUM(D63:D68)</f>
        <v>-116000</v>
      </c>
      <c r="E69" s="120">
        <f>SUM(E63:E68)</f>
        <v>-116000</v>
      </c>
      <c r="G69" s="120">
        <f>SUM(G63:G68)</f>
        <v>0</v>
      </c>
      <c r="H69" s="40">
        <f>SUM(H63:H68)</f>
        <v>-116000</v>
      </c>
      <c r="I69" s="120">
        <f>SUM(I63:I68)</f>
        <v>-116000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543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</row>
    <row r="73" spans="2:9" ht="12.75" outlineLevel="1">
      <c r="B73" s="35" t="s">
        <v>545</v>
      </c>
      <c r="C73" s="118">
        <v>31523</v>
      </c>
      <c r="D73" s="67">
        <f>(116000000+2000-6032000)/1000</f>
        <v>109970</v>
      </c>
      <c r="E73" s="125">
        <f aca="true" t="shared" si="7" ref="E73:E81">C73+D73</f>
        <v>141493</v>
      </c>
      <c r="G73" s="118">
        <f aca="true" t="shared" si="8" ref="G73:G81">C73</f>
        <v>31523</v>
      </c>
      <c r="H73" s="67">
        <f aca="true" t="shared" si="9" ref="H73:H81">D73</f>
        <v>109970</v>
      </c>
      <c r="I73" s="125">
        <f aca="true" t="shared" si="10" ref="I73:I81">G73+H73</f>
        <v>141493</v>
      </c>
    </row>
    <row r="74" spans="2:9" ht="12.75" outlineLevel="1">
      <c r="B74" s="35" t="s">
        <v>546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12.75" outlineLevel="1">
      <c r="B75" s="35" t="s">
        <v>535</v>
      </c>
      <c r="C75" s="118">
        <v>0</v>
      </c>
      <c r="D75" s="67">
        <v>0</v>
      </c>
      <c r="E75" s="125">
        <f t="shared" si="7"/>
        <v>0</v>
      </c>
      <c r="G75" s="118">
        <f t="shared" si="8"/>
        <v>0</v>
      </c>
      <c r="H75" s="67"/>
      <c r="I75" s="125"/>
    </row>
    <row r="76" spans="2:9" ht="12.75" outlineLevel="1">
      <c r="B76" s="35" t="s">
        <v>955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/>
      <c r="I76" s="125"/>
    </row>
    <row r="77" spans="2:9" ht="12.75">
      <c r="B77" s="35" t="s">
        <v>547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</row>
    <row r="78" spans="2:9" ht="12.75">
      <c r="B78" s="35" t="s">
        <v>548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12.75">
      <c r="B79" s="35" t="s">
        <v>549</v>
      </c>
      <c r="C79" s="118">
        <v>-78929</v>
      </c>
      <c r="D79" s="67">
        <v>0</v>
      </c>
      <c r="E79" s="125">
        <f t="shared" si="7"/>
        <v>-78929</v>
      </c>
      <c r="G79" s="118">
        <f t="shared" si="8"/>
        <v>-78929</v>
      </c>
      <c r="H79" s="67">
        <f t="shared" si="9"/>
        <v>0</v>
      </c>
      <c r="I79" s="125">
        <f t="shared" si="10"/>
        <v>-78929</v>
      </c>
    </row>
    <row r="80" spans="2:9" ht="12.75">
      <c r="B80" s="35" t="s">
        <v>550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12.75">
      <c r="B81" s="35" t="s">
        <v>528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12.75">
      <c r="B82" s="30" t="s">
        <v>543</v>
      </c>
      <c r="C82" s="120">
        <f>SUM(C72:C81)</f>
        <v>-47406</v>
      </c>
      <c r="D82" s="40">
        <f>SUM(D72:D81)</f>
        <v>109970</v>
      </c>
      <c r="E82" s="120">
        <f>SUM(E72:E81)</f>
        <v>62564</v>
      </c>
      <c r="G82" s="120">
        <f>SUM(G72:G81)</f>
        <v>-47406</v>
      </c>
      <c r="H82" s="40">
        <f>SUM(H72:H81)</f>
        <v>109970</v>
      </c>
      <c r="I82" s="120">
        <f>SUM(I72:I81)</f>
        <v>62564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551</v>
      </c>
      <c r="C84" s="118">
        <f>C60+C69+C82</f>
        <v>0</v>
      </c>
      <c r="D84" s="44">
        <f>D60+D69+D82</f>
        <v>0.3289999999979045</v>
      </c>
      <c r="E84" s="118">
        <f>E60+E69+E82</f>
        <v>0.3289999999979045</v>
      </c>
      <c r="G84" s="118">
        <f>G60+G69+G82</f>
        <v>0</v>
      </c>
      <c r="H84" s="44">
        <f>H60+H69+H82</f>
        <v>0.3289999999979045</v>
      </c>
      <c r="I84" s="118">
        <f>I60+I69+I82</f>
        <v>0.3289999999979045</v>
      </c>
    </row>
    <row r="85" spans="2:9" ht="12.7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v>0</v>
      </c>
      <c r="H85" s="48">
        <v>0</v>
      </c>
      <c r="I85" s="121">
        <f>G85+H85</f>
        <v>0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0.3289999999979045</v>
      </c>
      <c r="E86" s="123">
        <f>SUM(E84:E85)</f>
        <v>0.3289999999979045</v>
      </c>
      <c r="G86" s="123">
        <f>SUM(G84:G85)</f>
        <v>0</v>
      </c>
      <c r="H86" s="124">
        <f>SUM(H84:H85)</f>
        <v>0.3289999999979045</v>
      </c>
      <c r="I86" s="123">
        <f>SUM(I84:I85)</f>
        <v>0.3289999999979045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964</v>
      </c>
      <c r="D92" s="29" t="s">
        <v>964</v>
      </c>
      <c r="E92" s="28" t="s">
        <v>964</v>
      </c>
      <c r="G92" s="28" t="s">
        <v>963</v>
      </c>
      <c r="H92" s="29" t="s">
        <v>963</v>
      </c>
      <c r="I92" s="28" t="s">
        <v>963</v>
      </c>
      <c r="J92" s="157" t="s">
        <v>963</v>
      </c>
    </row>
    <row r="93" spans="2:10" ht="15">
      <c r="B93" s="33" t="s">
        <v>555</v>
      </c>
      <c r="C93" s="116" t="s">
        <v>500</v>
      </c>
      <c r="D93" s="117" t="s">
        <v>1595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1487</v>
      </c>
    </row>
    <row r="94" spans="2:10" ht="12.7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558</v>
      </c>
      <c r="C96" s="118">
        <v>1050492</v>
      </c>
      <c r="D96" s="67">
        <f>-D63-D46</f>
        <v>115696.293</v>
      </c>
      <c r="E96" s="125">
        <f>C96+D96</f>
        <v>1166188.293</v>
      </c>
      <c r="G96" s="118">
        <f>C96+J96</f>
        <v>1090709</v>
      </c>
      <c r="H96" s="67">
        <f>D96</f>
        <v>115696.293</v>
      </c>
      <c r="I96" s="125">
        <f>G96+H96</f>
        <v>1206405.293</v>
      </c>
      <c r="J96" s="159">
        <f>1090709-C96</f>
        <v>40217</v>
      </c>
    </row>
    <row r="97" spans="2:10" ht="12.7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12.75">
      <c r="B98" s="35" t="s">
        <v>560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1050492</v>
      </c>
      <c r="D100" s="40">
        <f>SUM(D96:D99)</f>
        <v>115696.293</v>
      </c>
      <c r="E100" s="120">
        <f>SUM(E96:E99)</f>
        <v>1166188.293</v>
      </c>
      <c r="G100" s="120">
        <f>SUM(G96:G99)</f>
        <v>1090709</v>
      </c>
      <c r="H100" s="40">
        <f>SUM(H96:H99)</f>
        <v>115696.293</v>
      </c>
      <c r="I100" s="120">
        <f>SUM(I96:I99)</f>
        <v>1206405.293</v>
      </c>
      <c r="J100" s="160">
        <f>SUM(J96:J99)</f>
        <v>40217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409.5">
      <c r="B109" s="30" t="s">
        <v>556</v>
      </c>
      <c r="C109" s="120">
        <f>C100+C108</f>
        <v>1050492</v>
      </c>
      <c r="D109" s="40">
        <f>D100+D108</f>
        <v>115696.293</v>
      </c>
      <c r="E109" s="120">
        <f>E100+E108</f>
        <v>1166188.293</v>
      </c>
      <c r="G109" s="120">
        <f>G100+G108</f>
        <v>1090709</v>
      </c>
      <c r="H109" s="40">
        <f>H100+H108</f>
        <v>115696.293</v>
      </c>
      <c r="I109" s="120">
        <f>I100+I108</f>
        <v>1206405.293</v>
      </c>
      <c r="J109" s="160">
        <f>J100+J108</f>
        <v>40217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409.5">
      <c r="B112" s="35" t="s">
        <v>571</v>
      </c>
      <c r="C112" s="118">
        <v>0</v>
      </c>
      <c r="D112" s="67">
        <v>0</v>
      </c>
      <c r="E112" s="125">
        <f aca="true" t="shared" si="15" ref="E112:E118">C112+D112</f>
        <v>0</v>
      </c>
      <c r="G112" s="118">
        <f aca="true" t="shared" si="16" ref="G112:G119">C112+J112</f>
        <v>0</v>
      </c>
      <c r="H112" s="67">
        <f aca="true" t="shared" si="17" ref="H112:H118">D112</f>
        <v>0</v>
      </c>
      <c r="I112" s="125">
        <f aca="true" t="shared" si="18" ref="I112:I118">G112+H112</f>
        <v>0</v>
      </c>
      <c r="J112" s="159">
        <v>0</v>
      </c>
    </row>
    <row r="113" spans="2:10" ht="409.5">
      <c r="B113" s="35" t="s">
        <v>572</v>
      </c>
      <c r="C113" s="118">
        <v>25232</v>
      </c>
      <c r="D113" s="67">
        <f>-D73+(90768000)/1000</f>
        <v>-19202</v>
      </c>
      <c r="E113" s="125">
        <f t="shared" si="15"/>
        <v>6030</v>
      </c>
      <c r="G113" s="118">
        <f t="shared" si="16"/>
        <v>620</v>
      </c>
      <c r="H113" s="67">
        <f t="shared" si="17"/>
        <v>-19202</v>
      </c>
      <c r="I113" s="125">
        <f t="shared" si="18"/>
        <v>-18582</v>
      </c>
      <c r="J113" s="159">
        <f>620-C113</f>
        <v>-24612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409.5">
      <c r="B119" s="35" t="s">
        <v>41</v>
      </c>
      <c r="C119" s="118">
        <f>C86</f>
        <v>0</v>
      </c>
      <c r="D119" s="44">
        <f>D84</f>
        <v>0.3289999999979045</v>
      </c>
      <c r="E119" s="118">
        <f>E86</f>
        <v>0.3289999999979045</v>
      </c>
      <c r="G119" s="118">
        <f t="shared" si="16"/>
        <v>0</v>
      </c>
      <c r="H119" s="44">
        <f>H84</f>
        <v>0.3289999999979045</v>
      </c>
      <c r="I119" s="118">
        <f>I86</f>
        <v>0.3289999999979045</v>
      </c>
      <c r="J119" s="159">
        <v>0</v>
      </c>
    </row>
    <row r="120" spans="2:10" ht="409.5">
      <c r="B120" s="30" t="s">
        <v>569</v>
      </c>
      <c r="C120" s="120">
        <f>SUM(C111:C119)</f>
        <v>25232</v>
      </c>
      <c r="D120" s="40">
        <f>SUM(D111:D119)</f>
        <v>-19201.671000000002</v>
      </c>
      <c r="E120" s="120">
        <f>SUM(E111:E119)</f>
        <v>6030.328999999998</v>
      </c>
      <c r="G120" s="120">
        <f>SUM(G111:G119)</f>
        <v>620</v>
      </c>
      <c r="H120" s="40">
        <f>SUM(H111:H119)</f>
        <v>-19201.671000000002</v>
      </c>
      <c r="I120" s="120">
        <f>SUM(I111:I119)</f>
        <v>-18581.671000000002</v>
      </c>
      <c r="J120" s="160">
        <f>SUM(J111:J119)</f>
        <v>-24612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1075724</v>
      </c>
      <c r="D122" s="128">
        <f>D109+D120</f>
        <v>96494.622</v>
      </c>
      <c r="E122" s="127">
        <f>E109+E120</f>
        <v>1172218.622</v>
      </c>
      <c r="G122" s="127">
        <f>G109+G120</f>
        <v>1091329</v>
      </c>
      <c r="H122" s="128">
        <f>H109+H120</f>
        <v>96494.622</v>
      </c>
      <c r="I122" s="127">
        <f>I109+I120</f>
        <v>1187823.622</v>
      </c>
      <c r="J122" s="161">
        <f>J109+J120</f>
        <v>15605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409.5">
      <c r="B130" s="66"/>
      <c r="C130" s="28" t="s">
        <v>963</v>
      </c>
      <c r="D130" s="29" t="s">
        <v>964</v>
      </c>
      <c r="E130" s="28" t="s">
        <v>964</v>
      </c>
      <c r="G130" s="28" t="s">
        <v>963</v>
      </c>
      <c r="H130" s="29" t="s">
        <v>963</v>
      </c>
      <c r="I130" s="28" t="s">
        <v>963</v>
      </c>
      <c r="J130" s="157" t="s">
        <v>963</v>
      </c>
    </row>
    <row r="131" spans="2:10" ht="15">
      <c r="B131" s="33" t="s">
        <v>579</v>
      </c>
      <c r="C131" s="116" t="s">
        <v>500</v>
      </c>
      <c r="D131" s="117" t="s">
        <v>1594</v>
      </c>
      <c r="E131" s="116" t="s">
        <v>501</v>
      </c>
      <c r="G131" s="116" t="s">
        <v>500</v>
      </c>
      <c r="H131" s="117" t="s">
        <v>1486</v>
      </c>
      <c r="I131" s="116" t="s">
        <v>501</v>
      </c>
      <c r="J131" s="158" t="s">
        <v>1488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722002</v>
      </c>
      <c r="D133" s="67">
        <f>D45</f>
        <v>5726.621999999999</v>
      </c>
      <c r="E133" s="125">
        <f>C133+D133</f>
        <v>727728.622</v>
      </c>
      <c r="G133" s="118">
        <f>C133+J133</f>
        <v>734199</v>
      </c>
      <c r="H133" s="67">
        <f>H45</f>
        <v>5726.621999999999</v>
      </c>
      <c r="I133" s="125">
        <f>G133+H133</f>
        <v>739925.622</v>
      </c>
      <c r="J133" s="159">
        <f>734199-C133</f>
        <v>12197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722002</v>
      </c>
      <c r="D136" s="40">
        <f>SUM(D133:D135)</f>
        <v>5726.621999999999</v>
      </c>
      <c r="E136" s="120">
        <f>SUM(E133:E135)</f>
        <v>727728.622</v>
      </c>
      <c r="G136" s="120">
        <f>SUM(G133:G135)</f>
        <v>734199</v>
      </c>
      <c r="H136" s="40">
        <f>SUM(H133:H135)</f>
        <v>5726.621999999999</v>
      </c>
      <c r="I136" s="120">
        <f>SUM(I133:I135)</f>
        <v>739925.622</v>
      </c>
      <c r="J136" s="160">
        <f>SUM(J133:J135)</f>
        <v>12197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0</v>
      </c>
      <c r="D138" s="67">
        <f>D50</f>
        <v>0</v>
      </c>
      <c r="E138" s="125">
        <f>C138+D138</f>
        <v>0</v>
      </c>
      <c r="G138" s="118">
        <f>C138+J138</f>
        <v>0</v>
      </c>
      <c r="H138" s="67">
        <f>H50</f>
        <v>0</v>
      </c>
      <c r="I138" s="125">
        <f>G138+H138</f>
        <v>0</v>
      </c>
      <c r="J138" s="159">
        <v>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0</v>
      </c>
      <c r="H140" s="40">
        <f>SUM(H138:H139)</f>
        <v>0</v>
      </c>
      <c r="I140" s="120">
        <f>SUM(I138:I139)</f>
        <v>0</v>
      </c>
      <c r="J140" s="160">
        <f>SUM(J138:J139)</f>
        <v>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323632</v>
      </c>
      <c r="D144" s="1">
        <v>0</v>
      </c>
      <c r="E144" s="125">
        <f>C144+D144</f>
        <v>323632</v>
      </c>
      <c r="G144" s="118">
        <f>C144+J144</f>
        <v>330579</v>
      </c>
      <c r="H144" s="1">
        <f>D144</f>
        <v>0</v>
      </c>
      <c r="I144" s="125">
        <f>G144+H144</f>
        <v>330579</v>
      </c>
      <c r="J144" s="159">
        <f>330579-C144</f>
        <v>6947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323632</v>
      </c>
      <c r="D146" s="40">
        <f>SUM(D142:D145)</f>
        <v>0</v>
      </c>
      <c r="E146" s="120">
        <f>SUM(E142:E145)</f>
        <v>323632</v>
      </c>
      <c r="G146" s="120">
        <f>SUM(G142:G145)</f>
        <v>330579</v>
      </c>
      <c r="H146" s="40">
        <f>SUM(H142:H145)</f>
        <v>0</v>
      </c>
      <c r="I146" s="120">
        <f>SUM(I142:I145)</f>
        <v>330579</v>
      </c>
      <c r="J146" s="160">
        <f>SUM(J142:J145)</f>
        <v>6947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67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67">
        <v>0</v>
      </c>
      <c r="E149" s="125">
        <f aca="true" t="shared" si="19" ref="E149:E157">C149+D149</f>
        <v>0</v>
      </c>
      <c r="G149" s="118">
        <f aca="true" t="shared" si="20" ref="G149:G157">C149+J149</f>
        <v>33</v>
      </c>
      <c r="H149" s="1">
        <f aca="true" t="shared" si="21" ref="H149:H157">D149</f>
        <v>0</v>
      </c>
      <c r="I149" s="125">
        <f aca="true" t="shared" si="22" ref="I149:I157">G149+H149</f>
        <v>33</v>
      </c>
      <c r="J149" s="159">
        <f>33-C149</f>
        <v>33</v>
      </c>
    </row>
    <row r="150" spans="2:10" ht="409.5">
      <c r="B150" s="35" t="s">
        <v>590</v>
      </c>
      <c r="C150" s="118">
        <v>0</v>
      </c>
      <c r="D150" s="67">
        <f>(90768000)/1000</f>
        <v>90768</v>
      </c>
      <c r="E150" s="125">
        <f t="shared" si="19"/>
        <v>90768</v>
      </c>
      <c r="G150" s="118">
        <f t="shared" si="20"/>
        <v>0</v>
      </c>
      <c r="H150" s="1">
        <f t="shared" si="21"/>
        <v>90768</v>
      </c>
      <c r="I150" s="125">
        <f t="shared" si="22"/>
        <v>90768</v>
      </c>
      <c r="J150" s="159">
        <v>0</v>
      </c>
    </row>
    <row r="151" spans="2:10" ht="409.5">
      <c r="B151" s="35" t="s">
        <v>594</v>
      </c>
      <c r="C151" s="118">
        <v>0</v>
      </c>
      <c r="D151" s="67">
        <v>0</v>
      </c>
      <c r="E151" s="125">
        <f t="shared" si="19"/>
        <v>0</v>
      </c>
      <c r="G151" s="118">
        <f t="shared" si="20"/>
        <v>0</v>
      </c>
      <c r="H151" s="1">
        <f t="shared" si="21"/>
        <v>0</v>
      </c>
      <c r="I151" s="125">
        <f t="shared" si="22"/>
        <v>0</v>
      </c>
      <c r="J151" s="159">
        <v>0</v>
      </c>
    </row>
    <row r="152" spans="2:10" ht="409.5">
      <c r="B152" s="69" t="s">
        <v>595</v>
      </c>
      <c r="C152" s="118">
        <v>0</v>
      </c>
      <c r="D152" s="67">
        <v>0</v>
      </c>
      <c r="E152" s="125">
        <f t="shared" si="19"/>
        <v>0</v>
      </c>
      <c r="G152" s="118">
        <f t="shared" si="20"/>
        <v>0</v>
      </c>
      <c r="H152" s="1">
        <f t="shared" si="21"/>
        <v>0</v>
      </c>
      <c r="I152" s="125">
        <f t="shared" si="22"/>
        <v>0</v>
      </c>
      <c r="J152" s="159">
        <v>0</v>
      </c>
    </row>
    <row r="153" spans="2:10" ht="409.5">
      <c r="B153" s="35" t="s">
        <v>596</v>
      </c>
      <c r="C153" s="118">
        <v>0</v>
      </c>
      <c r="D153" s="67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409.5">
      <c r="B154" s="35" t="s">
        <v>597</v>
      </c>
      <c r="C154" s="118">
        <v>30090</v>
      </c>
      <c r="D154" s="67">
        <v>0</v>
      </c>
      <c r="E154" s="125">
        <f t="shared" si="19"/>
        <v>30090</v>
      </c>
      <c r="G154" s="118">
        <f t="shared" si="20"/>
        <v>26475</v>
      </c>
      <c r="H154" s="1">
        <f t="shared" si="21"/>
        <v>0</v>
      </c>
      <c r="I154" s="125">
        <f t="shared" si="22"/>
        <v>26475</v>
      </c>
      <c r="J154" s="159">
        <f>26475-C154</f>
        <v>-3615</v>
      </c>
    </row>
    <row r="155" spans="2:10" ht="409.5">
      <c r="B155" s="35" t="s">
        <v>598</v>
      </c>
      <c r="C155" s="118">
        <v>0</v>
      </c>
      <c r="D155" s="67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409.5">
      <c r="B156" s="35" t="s">
        <v>599</v>
      </c>
      <c r="C156" s="118">
        <v>0</v>
      </c>
      <c r="D156" s="67">
        <v>0</v>
      </c>
      <c r="E156" s="125">
        <f t="shared" si="19"/>
        <v>0</v>
      </c>
      <c r="G156" s="118">
        <f t="shared" si="20"/>
        <v>43</v>
      </c>
      <c r="H156" s="1">
        <f t="shared" si="21"/>
        <v>0</v>
      </c>
      <c r="I156" s="125">
        <f t="shared" si="22"/>
        <v>43</v>
      </c>
      <c r="J156" s="159">
        <f>43-C156</f>
        <v>43</v>
      </c>
    </row>
    <row r="157" spans="2:10" ht="409.5">
      <c r="B157" s="35" t="s">
        <v>600</v>
      </c>
      <c r="C157" s="118">
        <v>0</v>
      </c>
      <c r="D157" s="67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409.5">
      <c r="B158" s="30" t="s">
        <v>592</v>
      </c>
      <c r="C158" s="120">
        <f>SUM(C148:C157)</f>
        <v>30090</v>
      </c>
      <c r="D158" s="40">
        <f>SUM(D148:D157)</f>
        <v>90768</v>
      </c>
      <c r="E158" s="120">
        <f>SUM(E148:E157)</f>
        <v>120858</v>
      </c>
      <c r="G158" s="120">
        <f>SUM(G148:G157)</f>
        <v>26551</v>
      </c>
      <c r="H158" s="40">
        <f>SUM(H148:H157)</f>
        <v>90768</v>
      </c>
      <c r="I158" s="120">
        <f>SUM(I148:I157)</f>
        <v>117319</v>
      </c>
      <c r="J158" s="160">
        <f>SUM(J148:J157)</f>
        <v>-3539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353722</v>
      </c>
      <c r="D160" s="40">
        <f>D140+D146+D158</f>
        <v>90768</v>
      </c>
      <c r="E160" s="120">
        <f>E140+E146+E158</f>
        <v>444490</v>
      </c>
      <c r="G160" s="120">
        <f>G140+G146+G158</f>
        <v>357130</v>
      </c>
      <c r="H160" s="40">
        <f>H140+H146+H158</f>
        <v>90768</v>
      </c>
      <c r="I160" s="120">
        <f>I140+I146+I158</f>
        <v>447898</v>
      </c>
      <c r="J160" s="160">
        <f>J140+J146+J158</f>
        <v>3408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1075724</v>
      </c>
      <c r="D162" s="127">
        <f>D136+D160</f>
        <v>96494.622</v>
      </c>
      <c r="E162" s="127">
        <f>E136+E160</f>
        <v>1172218.622</v>
      </c>
      <c r="G162" s="127">
        <f>G136+G160</f>
        <v>1091329</v>
      </c>
      <c r="H162" s="128">
        <f>H136+H160</f>
        <v>96494.622</v>
      </c>
      <c r="I162" s="127">
        <f>I136+I160</f>
        <v>1187823.622</v>
      </c>
      <c r="J162" s="161">
        <f>J136+J160</f>
        <v>15605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39">
      <selection activeCell="D74" sqref="D74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960</v>
      </c>
      <c r="D5" s="29" t="s">
        <v>960</v>
      </c>
      <c r="E5" s="28" t="s">
        <v>960</v>
      </c>
      <c r="G5" s="28" t="s">
        <v>960</v>
      </c>
      <c r="H5" s="29" t="s">
        <v>960</v>
      </c>
      <c r="I5" s="28" t="s">
        <v>960</v>
      </c>
    </row>
    <row r="6" spans="2:9" ht="15">
      <c r="B6" s="30" t="s">
        <v>499</v>
      </c>
      <c r="C6" s="116" t="s">
        <v>500</v>
      </c>
      <c r="D6" s="117" t="s">
        <v>1595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-'Sundurliðun viðauka nr.2'!P1767/1000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503</v>
      </c>
      <c r="C9" s="118">
        <v>0</v>
      </c>
      <c r="D9" s="67">
        <f>-'Sundurliðun viðauka nr.2'!P1768/1000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504</v>
      </c>
      <c r="C10" s="118">
        <v>57351</v>
      </c>
      <c r="D10" s="67">
        <f>(10000000)/1000-('Sundurliðun viðauka nr.2'!P1769+'Sundurliðun viðauka nr.2'!P1770+'Sundurliðun viðauka nr.2'!P1771+'Sundurliðun viðauka nr.2'!P1772+'Sundurliðun viðauka nr.2'!P1773)/1000</f>
        <v>10000</v>
      </c>
      <c r="E10" s="119">
        <f>C10+D10</f>
        <v>67351</v>
      </c>
      <c r="G10" s="118">
        <f t="shared" si="0"/>
        <v>57351</v>
      </c>
      <c r="H10" s="67">
        <f t="shared" si="0"/>
        <v>10000</v>
      </c>
      <c r="I10" s="119">
        <f>G10+H10</f>
        <v>67351</v>
      </c>
    </row>
    <row r="11" spans="2:9" ht="12.75">
      <c r="B11" s="38"/>
      <c r="C11" s="120">
        <f>SUM(C8:C10)</f>
        <v>57351</v>
      </c>
      <c r="D11" s="40">
        <f>SUM(D8:D10)</f>
        <v>10000</v>
      </c>
      <c r="E11" s="120">
        <f>SUM(E8:E10)</f>
        <v>67351</v>
      </c>
      <c r="G11" s="120">
        <f>SUM(G8:G10)</f>
        <v>57351</v>
      </c>
      <c r="H11" s="40">
        <f>SUM(H8:H10)</f>
        <v>10000</v>
      </c>
      <c r="I11" s="120">
        <f>SUM(I8:I10)</f>
        <v>67351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29159</v>
      </c>
      <c r="D14" s="67">
        <f>375542/1000+'Sundurliðun viðauka nr.2'!P1774/1000</f>
        <v>375.542</v>
      </c>
      <c r="E14" s="119">
        <f>C14+D14</f>
        <v>29534.542</v>
      </c>
      <c r="G14" s="118">
        <f aca="true" t="shared" si="1" ref="G14:H16">C14</f>
        <v>29159</v>
      </c>
      <c r="H14" s="67">
        <f t="shared" si="1"/>
        <v>375.542</v>
      </c>
      <c r="I14" s="119">
        <f>G14+H14</f>
        <v>29534.542</v>
      </c>
    </row>
    <row r="15" spans="2:9" ht="12.75">
      <c r="B15" s="35" t="s">
        <v>507</v>
      </c>
      <c r="C15" s="118">
        <v>22953</v>
      </c>
      <c r="D15" s="67">
        <f>280000/1000+('Sundurliðun viðauka nr.2'!P1775+'Sundurliðun viðauka nr.2'!P1776+'Sundurliðun viðauka nr.2'!P1777+'Sundurliðun viðauka nr.2'!P1778+'Sundurliðun viðauka nr.2'!P1779+'Sundurliðun viðauka nr.2'!P1780+'Sundurliðun viðauka nr.2'!P1781)/1000</f>
        <v>68</v>
      </c>
      <c r="E15" s="119">
        <f>C15+D15</f>
        <v>23021</v>
      </c>
      <c r="G15" s="118">
        <f t="shared" si="1"/>
        <v>22953</v>
      </c>
      <c r="H15" s="67">
        <f t="shared" si="1"/>
        <v>68</v>
      </c>
      <c r="I15" s="119">
        <f>G15+H15</f>
        <v>23021</v>
      </c>
    </row>
    <row r="16" spans="2:9" ht="12.75">
      <c r="B16" s="35" t="s">
        <v>508</v>
      </c>
      <c r="C16" s="118">
        <v>1617</v>
      </c>
      <c r="D16" s="67">
        <f>'Sundurliðun viðauka nr.2'!P1783/1000</f>
        <v>0</v>
      </c>
      <c r="E16" s="119">
        <f>C16+D16</f>
        <v>1617</v>
      </c>
      <c r="G16" s="118">
        <f t="shared" si="1"/>
        <v>1617</v>
      </c>
      <c r="H16" s="67">
        <f t="shared" si="1"/>
        <v>0</v>
      </c>
      <c r="I16" s="119">
        <f>G16+H16</f>
        <v>1617</v>
      </c>
    </row>
    <row r="17" spans="2:9" ht="12.75">
      <c r="B17" s="38"/>
      <c r="C17" s="120">
        <f>SUM(C14:C16)</f>
        <v>53729</v>
      </c>
      <c r="D17" s="40">
        <f>SUM(D14:D16)</f>
        <v>443.542</v>
      </c>
      <c r="E17" s="120">
        <f>SUM(E14:E16)</f>
        <v>54172.542</v>
      </c>
      <c r="G17" s="120">
        <f>SUM(G14:G16)</f>
        <v>53729</v>
      </c>
      <c r="H17" s="40">
        <f>SUM(H14:H16)</f>
        <v>443.542</v>
      </c>
      <c r="I17" s="120">
        <f>SUM(I14:I16)</f>
        <v>54172.542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0.06315495806524733</v>
      </c>
      <c r="D19" s="71" t="s">
        <v>1</v>
      </c>
      <c r="E19" s="68">
        <f>(E11-E17)/E11</f>
        <v>0.19566833454588645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2586</v>
      </c>
      <c r="D20" s="67">
        <f>'Sundurliðun viðauka nr.2'!P1782/1000</f>
        <v>0</v>
      </c>
      <c r="E20" s="119">
        <f>C20+D20</f>
        <v>2586</v>
      </c>
      <c r="G20" s="118">
        <f>C20</f>
        <v>2586</v>
      </c>
      <c r="H20" s="67">
        <f>D20</f>
        <v>0</v>
      </c>
      <c r="I20" s="119">
        <f>G20+H20</f>
        <v>2586</v>
      </c>
    </row>
    <row r="21" spans="2:9" ht="12.75">
      <c r="B21" s="35" t="s">
        <v>511</v>
      </c>
      <c r="C21" s="120">
        <f>C11-C17-C20</f>
        <v>1036</v>
      </c>
      <c r="D21" s="40">
        <f>D11-D17-D20</f>
        <v>9556.458</v>
      </c>
      <c r="E21" s="120">
        <f>E11-E17-E20</f>
        <v>10592.457999999999</v>
      </c>
      <c r="G21" s="120">
        <f>G11-G17-G20</f>
        <v>1036</v>
      </c>
      <c r="H21" s="40">
        <f>H11-H17-H20</f>
        <v>9556.458</v>
      </c>
      <c r="I21" s="120">
        <f>I11-I17-I20</f>
        <v>10592.457999999999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-500</v>
      </c>
      <c r="D24" s="40">
        <f>-'Sundurliðun viðauka nr.2'!P1784/1000</f>
        <v>0</v>
      </c>
      <c r="E24" s="120">
        <f>C24+D24</f>
        <v>-500</v>
      </c>
      <c r="G24" s="120">
        <f>C24</f>
        <v>-500</v>
      </c>
      <c r="H24" s="40">
        <f>D24</f>
        <v>0</v>
      </c>
      <c r="I24" s="120">
        <f>G24+H24</f>
        <v>-500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536</v>
      </c>
      <c r="D26" s="44">
        <f>D21+D24</f>
        <v>9556.458</v>
      </c>
      <c r="E26" s="118">
        <f>E21+E24</f>
        <v>10092.457999999999</v>
      </c>
      <c r="G26" s="118"/>
      <c r="H26" s="44"/>
      <c r="I26" s="118"/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536</v>
      </c>
      <c r="D30" s="44">
        <f>D26+D29</f>
        <v>9556.458</v>
      </c>
      <c r="E30" s="118">
        <f>E26+E29</f>
        <v>10092.457999999999</v>
      </c>
      <c r="G30" s="118">
        <f>G21+G24+G29</f>
        <v>536</v>
      </c>
      <c r="H30" s="44">
        <f>H21+H24+H29</f>
        <v>9556.458</v>
      </c>
      <c r="I30" s="118">
        <f>I21+I24+I29</f>
        <v>10092.457999999999</v>
      </c>
    </row>
    <row r="31" spans="2:9" ht="12.7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536</v>
      </c>
      <c r="D33" s="124">
        <f>SUM(D30:D32)</f>
        <v>9556.458</v>
      </c>
      <c r="E33" s="123">
        <f>SUM(E30:E32)</f>
        <v>10092.457999999999</v>
      </c>
      <c r="G33" s="123">
        <f>SUM(G30:G32)</f>
        <v>536</v>
      </c>
      <c r="H33" s="124">
        <f>SUM(H30:H32)</f>
        <v>9556.458</v>
      </c>
      <c r="I33" s="123">
        <f>SUM(I30:I32)</f>
        <v>10092.457999999999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10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  <c r="J40" s="155" t="s">
        <v>493</v>
      </c>
    </row>
    <row r="41" spans="3:10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  <c r="J41" s="156" t="s">
        <v>496</v>
      </c>
    </row>
    <row r="42" spans="2:10" ht="20.25" customHeight="1">
      <c r="B42" s="27" t="s">
        <v>519</v>
      </c>
      <c r="C42" s="28" t="s">
        <v>960</v>
      </c>
      <c r="D42" s="29" t="s">
        <v>960</v>
      </c>
      <c r="E42" s="28" t="s">
        <v>960</v>
      </c>
      <c r="G42" s="28" t="s">
        <v>960</v>
      </c>
      <c r="H42" s="29" t="s">
        <v>960</v>
      </c>
      <c r="I42" s="28" t="s">
        <v>960</v>
      </c>
      <c r="J42" s="157" t="s">
        <v>960</v>
      </c>
    </row>
    <row r="43" spans="2:10" ht="15">
      <c r="B43" s="30" t="s">
        <v>520</v>
      </c>
      <c r="C43" s="116" t="s">
        <v>500</v>
      </c>
      <c r="D43" s="117" t="s">
        <v>1595</v>
      </c>
      <c r="E43" s="116" t="s">
        <v>501</v>
      </c>
      <c r="G43" s="116" t="s">
        <v>500</v>
      </c>
      <c r="H43" s="117" t="s">
        <v>1486</v>
      </c>
      <c r="I43" s="116" t="s">
        <v>501</v>
      </c>
      <c r="J43" s="158" t="s">
        <v>1487</v>
      </c>
    </row>
    <row r="44" spans="2:10" ht="12.75">
      <c r="B44" s="33" t="s">
        <v>521</v>
      </c>
      <c r="C44" s="55"/>
      <c r="E44" s="114"/>
      <c r="G44" s="55"/>
      <c r="H44" s="1"/>
      <c r="I44" s="114"/>
      <c r="J44" s="162"/>
    </row>
    <row r="45" spans="2:10" ht="12.75">
      <c r="B45" s="35" t="s">
        <v>522</v>
      </c>
      <c r="C45" s="118">
        <f>C33</f>
        <v>536</v>
      </c>
      <c r="D45" s="44">
        <f>D33</f>
        <v>9556.458</v>
      </c>
      <c r="E45" s="118">
        <f>E33</f>
        <v>10092.457999999999</v>
      </c>
      <c r="G45" s="118">
        <f>G33</f>
        <v>536</v>
      </c>
      <c r="H45" s="44">
        <f>H33</f>
        <v>9556.458</v>
      </c>
      <c r="I45" s="118">
        <f>I33</f>
        <v>10092.457999999999</v>
      </c>
      <c r="J45" s="162"/>
    </row>
    <row r="46" spans="2:10" ht="12.75">
      <c r="B46" s="35" t="s">
        <v>523</v>
      </c>
      <c r="C46" s="118">
        <f>C20</f>
        <v>2586</v>
      </c>
      <c r="D46" s="44">
        <f>D20</f>
        <v>0</v>
      </c>
      <c r="E46" s="118">
        <f>E20</f>
        <v>2586</v>
      </c>
      <c r="G46" s="118">
        <f>G20</f>
        <v>2586</v>
      </c>
      <c r="H46" s="44">
        <f>H20</f>
        <v>0</v>
      </c>
      <c r="I46" s="118">
        <f>I20</f>
        <v>2586</v>
      </c>
      <c r="J46" s="162"/>
    </row>
    <row r="47" spans="2:10" ht="12.7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f aca="true" t="shared" si="2" ref="G47:H49">C47</f>
        <v>0</v>
      </c>
      <c r="H47" s="67">
        <f t="shared" si="2"/>
        <v>0</v>
      </c>
      <c r="I47" s="125">
        <f>G47+H47</f>
        <v>0</v>
      </c>
      <c r="J47" s="162"/>
    </row>
    <row r="48" spans="2:10" ht="12.7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  <c r="J48" s="162"/>
    </row>
    <row r="49" spans="2:10" ht="12.7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  <c r="J49" s="162"/>
    </row>
    <row r="50" spans="2:10" ht="12.75">
      <c r="B50" s="35" t="s">
        <v>527</v>
      </c>
      <c r="C50" s="118">
        <f>C16</f>
        <v>1617</v>
      </c>
      <c r="D50" s="44">
        <f>D16</f>
        <v>0</v>
      </c>
      <c r="E50" s="118">
        <f>E16</f>
        <v>1617</v>
      </c>
      <c r="G50" s="118">
        <f>G16</f>
        <v>1617</v>
      </c>
      <c r="H50" s="44">
        <f>H16</f>
        <v>0</v>
      </c>
      <c r="I50" s="118">
        <f>I16</f>
        <v>1617</v>
      </c>
      <c r="J50" s="162"/>
    </row>
    <row r="51" spans="2:10" ht="12.7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  <c r="J51" s="162"/>
    </row>
    <row r="52" spans="2:10" ht="12.75">
      <c r="B52" s="57" t="s">
        <v>529</v>
      </c>
      <c r="C52" s="120">
        <f>SUM(C45:C51)</f>
        <v>4739</v>
      </c>
      <c r="D52" s="40">
        <f>SUM(D45:D51)</f>
        <v>9556.458</v>
      </c>
      <c r="E52" s="120">
        <f>SUM(E45:E51)</f>
        <v>14295.457999999999</v>
      </c>
      <c r="G52" s="120">
        <f>SUM(G45:G51)</f>
        <v>4739</v>
      </c>
      <c r="H52" s="40">
        <f>SUM(H45:H51)</f>
        <v>9556.458</v>
      </c>
      <c r="I52" s="120">
        <f>SUM(I45:I51)</f>
        <v>14295.457999999999</v>
      </c>
      <c r="J52" s="162"/>
    </row>
    <row r="53" spans="2:10" ht="12.75">
      <c r="B53" s="58" t="s">
        <v>530</v>
      </c>
      <c r="C53" s="118"/>
      <c r="D53" s="1"/>
      <c r="E53" s="114"/>
      <c r="G53" s="118"/>
      <c r="H53" s="1"/>
      <c r="I53" s="114"/>
      <c r="J53" s="162"/>
    </row>
    <row r="54" spans="2:10" ht="12.7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  <c r="J54" s="162"/>
    </row>
    <row r="55" spans="2:10" ht="12.75">
      <c r="B55" s="35" t="s">
        <v>532</v>
      </c>
      <c r="C55" s="118">
        <v>-17</v>
      </c>
      <c r="D55" s="2">
        <v>0</v>
      </c>
      <c r="E55" s="125">
        <f>C55+D55</f>
        <v>-17</v>
      </c>
      <c r="G55" s="118">
        <f t="shared" si="3"/>
        <v>-17</v>
      </c>
      <c r="H55" s="1">
        <f t="shared" si="3"/>
        <v>0</v>
      </c>
      <c r="I55" s="125">
        <f>G55+H55</f>
        <v>-17</v>
      </c>
      <c r="J55" s="162"/>
    </row>
    <row r="56" spans="2:10" ht="12.7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  <c r="J56" s="162"/>
    </row>
    <row r="57" spans="2:10" ht="12.75">
      <c r="B57" s="35" t="s">
        <v>534</v>
      </c>
      <c r="C57" s="118">
        <v>800</v>
      </c>
      <c r="D57" s="2">
        <v>0</v>
      </c>
      <c r="E57" s="125">
        <f>C57+D57</f>
        <v>800</v>
      </c>
      <c r="G57" s="118">
        <f t="shared" si="3"/>
        <v>800</v>
      </c>
      <c r="H57" s="1">
        <f t="shared" si="3"/>
        <v>0</v>
      </c>
      <c r="I57" s="125">
        <f>G57+H57</f>
        <v>800</v>
      </c>
      <c r="J57" s="162"/>
    </row>
    <row r="58" spans="2:10" ht="12.75">
      <c r="B58" s="35" t="s">
        <v>535</v>
      </c>
      <c r="C58" s="121">
        <v>0</v>
      </c>
      <c r="D58" s="126">
        <v>0</v>
      </c>
      <c r="E58" s="147">
        <f>C58+D58</f>
        <v>0</v>
      </c>
      <c r="G58" s="118">
        <f t="shared" si="3"/>
        <v>0</v>
      </c>
      <c r="H58" s="126">
        <f t="shared" si="3"/>
        <v>0</v>
      </c>
      <c r="I58" s="147">
        <f>G58+H58</f>
        <v>0</v>
      </c>
      <c r="J58" s="162"/>
    </row>
    <row r="59" spans="2:10" ht="12.75">
      <c r="B59" s="30" t="s">
        <v>530</v>
      </c>
      <c r="C59" s="121">
        <f>SUM(C54:C58)</f>
        <v>783</v>
      </c>
      <c r="D59" s="48">
        <f>SUM(D54:D58)</f>
        <v>0</v>
      </c>
      <c r="E59" s="121">
        <f>SUM(E54:E58)</f>
        <v>783</v>
      </c>
      <c r="G59" s="121">
        <f>SUM(G54:G58)</f>
        <v>783</v>
      </c>
      <c r="H59" s="48">
        <f>SUM(H54:H58)</f>
        <v>0</v>
      </c>
      <c r="I59" s="121">
        <f>SUM(I54:I58)</f>
        <v>783</v>
      </c>
      <c r="J59" s="162"/>
    </row>
    <row r="60" spans="2:10" ht="13.5" thickBot="1">
      <c r="B60" s="57" t="s">
        <v>536</v>
      </c>
      <c r="C60" s="123">
        <f>C52+C59</f>
        <v>5522</v>
      </c>
      <c r="D60" s="124">
        <f>D52+D59</f>
        <v>9556.458</v>
      </c>
      <c r="E60" s="123">
        <f>E52+E59</f>
        <v>15078.457999999999</v>
      </c>
      <c r="G60" s="123">
        <f>G52+G59</f>
        <v>5522</v>
      </c>
      <c r="H60" s="124">
        <f>H52+H59</f>
        <v>9556.458</v>
      </c>
      <c r="I60" s="123">
        <f>I52+I59</f>
        <v>15078.457999999999</v>
      </c>
      <c r="J60" s="162"/>
    </row>
    <row r="61" spans="2:10" ht="13.5" thickTop="1">
      <c r="B61" s="30"/>
      <c r="C61" s="59"/>
      <c r="D61" s="1"/>
      <c r="E61" s="114"/>
      <c r="G61" s="59"/>
      <c r="H61" s="1"/>
      <c r="I61" s="114"/>
      <c r="J61" s="162"/>
    </row>
    <row r="62" spans="2:10" ht="12.75">
      <c r="B62" s="33" t="s">
        <v>537</v>
      </c>
      <c r="C62" s="60"/>
      <c r="D62" s="1"/>
      <c r="E62" s="114"/>
      <c r="G62" s="60"/>
      <c r="H62" s="1"/>
      <c r="I62" s="114"/>
      <c r="J62" s="162"/>
    </row>
    <row r="63" spans="2:10" ht="12.75">
      <c r="B63" s="35" t="s">
        <v>538</v>
      </c>
      <c r="C63" s="118">
        <v>-2000</v>
      </c>
      <c r="D63" s="67">
        <f>-(16000000)/1000-('Sundurliðun viðauka nr.2'!P1798)/1000</f>
        <v>-16000</v>
      </c>
      <c r="E63" s="125">
        <f aca="true" t="shared" si="4" ref="E63:E68">C63+D63</f>
        <v>-18000</v>
      </c>
      <c r="G63" s="118">
        <f>C63</f>
        <v>-2000</v>
      </c>
      <c r="H63" s="67">
        <f aca="true" t="shared" si="5" ref="H63:H68">D63</f>
        <v>-16000</v>
      </c>
      <c r="I63" s="125">
        <f aca="true" t="shared" si="6" ref="I63:I68">G63+H63</f>
        <v>-18000</v>
      </c>
      <c r="J63" s="162"/>
    </row>
    <row r="64" spans="2:10" ht="12.75" hidden="1" outlineLevel="1">
      <c r="B64" s="35" t="s">
        <v>539</v>
      </c>
      <c r="C64" s="118">
        <v>0</v>
      </c>
      <c r="D64" s="67">
        <v>0</v>
      </c>
      <c r="E64" s="125">
        <f t="shared" si="4"/>
        <v>0</v>
      </c>
      <c r="G64" s="118">
        <f>C64</f>
        <v>0</v>
      </c>
      <c r="H64" s="67">
        <f t="shared" si="5"/>
        <v>0</v>
      </c>
      <c r="I64" s="125">
        <f t="shared" si="6"/>
        <v>0</v>
      </c>
      <c r="J64" s="162"/>
    </row>
    <row r="65" spans="2:10" ht="12.75" hidden="1" outlineLevel="1">
      <c r="B65" s="35" t="s">
        <v>540</v>
      </c>
      <c r="C65" s="118">
        <v>0</v>
      </c>
      <c r="D65" s="67">
        <v>0</v>
      </c>
      <c r="E65" s="125">
        <f t="shared" si="4"/>
        <v>0</v>
      </c>
      <c r="G65" s="118">
        <f>C65</f>
        <v>0</v>
      </c>
      <c r="H65" s="67">
        <f t="shared" si="5"/>
        <v>0</v>
      </c>
      <c r="I65" s="125">
        <f t="shared" si="6"/>
        <v>0</v>
      </c>
      <c r="J65" s="162"/>
    </row>
    <row r="66" spans="2:10" ht="409.5" collapsed="1">
      <c r="B66" s="35" t="s">
        <v>541</v>
      </c>
      <c r="C66" s="118">
        <v>0</v>
      </c>
      <c r="D66" s="67">
        <v>0</v>
      </c>
      <c r="E66" s="125">
        <f t="shared" si="4"/>
        <v>0</v>
      </c>
      <c r="G66" s="118">
        <f>C66</f>
        <v>0</v>
      </c>
      <c r="H66" s="67">
        <f t="shared" si="5"/>
        <v>0</v>
      </c>
      <c r="I66" s="125">
        <f t="shared" si="6"/>
        <v>0</v>
      </c>
      <c r="J66" s="162"/>
    </row>
    <row r="67" spans="2:10" ht="12.75" hidden="1" outlineLevel="1">
      <c r="B67" s="35" t="s">
        <v>542</v>
      </c>
      <c r="C67" s="118">
        <v>0</v>
      </c>
      <c r="D67" s="67">
        <v>0</v>
      </c>
      <c r="E67" s="125">
        <f t="shared" si="4"/>
        <v>0</v>
      </c>
      <c r="G67" s="118">
        <v>0</v>
      </c>
      <c r="H67" s="67">
        <f t="shared" si="5"/>
        <v>0</v>
      </c>
      <c r="I67" s="125">
        <f t="shared" si="6"/>
        <v>0</v>
      </c>
      <c r="J67" s="162"/>
    </row>
    <row r="68" spans="2:10" ht="12.75" hidden="1" outlineLevel="1">
      <c r="B68" s="35" t="s">
        <v>528</v>
      </c>
      <c r="C68" s="118">
        <v>0</v>
      </c>
      <c r="D68" s="44">
        <v>0</v>
      </c>
      <c r="E68" s="125">
        <f t="shared" si="4"/>
        <v>0</v>
      </c>
      <c r="G68" s="118">
        <v>0</v>
      </c>
      <c r="H68" s="67">
        <f t="shared" si="5"/>
        <v>0</v>
      </c>
      <c r="I68" s="125">
        <f t="shared" si="6"/>
        <v>0</v>
      </c>
      <c r="J68" s="162"/>
    </row>
    <row r="69" spans="2:10" ht="409.5" collapsed="1">
      <c r="B69" s="30" t="s">
        <v>537</v>
      </c>
      <c r="C69" s="120">
        <f>SUM(C63:C68)</f>
        <v>-2000</v>
      </c>
      <c r="D69" s="40">
        <f>SUM(D63:D68)</f>
        <v>-16000</v>
      </c>
      <c r="E69" s="120">
        <f>SUM(E63:E68)</f>
        <v>-18000</v>
      </c>
      <c r="G69" s="120">
        <f>SUM(G63:G68)</f>
        <v>-2000</v>
      </c>
      <c r="H69" s="40">
        <f>SUM(H63:H68)</f>
        <v>-16000</v>
      </c>
      <c r="I69" s="120">
        <f>SUM(I63:I68)</f>
        <v>-18000</v>
      </c>
      <c r="J69" s="162"/>
    </row>
    <row r="70" spans="2:10" ht="409.5">
      <c r="B70" s="41"/>
      <c r="C70" s="118"/>
      <c r="D70" s="67"/>
      <c r="E70" s="114"/>
      <c r="G70" s="118"/>
      <c r="H70" s="1"/>
      <c r="I70" s="114"/>
      <c r="J70" s="162"/>
    </row>
    <row r="71" spans="2:10" ht="409.5">
      <c r="B71" s="33" t="s">
        <v>543</v>
      </c>
      <c r="C71" s="60"/>
      <c r="D71" s="67"/>
      <c r="E71" s="114"/>
      <c r="G71" s="60"/>
      <c r="H71" s="1"/>
      <c r="I71" s="114"/>
      <c r="J71" s="162"/>
    </row>
    <row r="72" spans="2:10" ht="409.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  <c r="J72" s="162"/>
    </row>
    <row r="73" spans="2:10" ht="409.5" outlineLevel="1">
      <c r="B73" s="35" t="s">
        <v>545</v>
      </c>
      <c r="C73" s="118">
        <v>-2225</v>
      </c>
      <c r="D73" s="67">
        <f>(6280000+376000-212000)/1000</f>
        <v>6444</v>
      </c>
      <c r="E73" s="125">
        <f aca="true" t="shared" si="7" ref="E73:E81">C73+D73</f>
        <v>4219</v>
      </c>
      <c r="G73" s="118">
        <f aca="true" t="shared" si="8" ref="G73:G81">C73</f>
        <v>-2225</v>
      </c>
      <c r="H73" s="67">
        <f aca="true" t="shared" si="9" ref="H73:H81">D73</f>
        <v>6444</v>
      </c>
      <c r="I73" s="125">
        <f aca="true" t="shared" si="10" ref="I73:I81">G73+H73</f>
        <v>4219</v>
      </c>
      <c r="J73" s="162"/>
    </row>
    <row r="74" spans="2:10" ht="409.5" outlineLevel="1">
      <c r="B74" s="35" t="s">
        <v>546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  <c r="J74" s="162"/>
    </row>
    <row r="75" spans="2:10" ht="409.5" outlineLevel="1">
      <c r="B75" s="35" t="s">
        <v>954</v>
      </c>
      <c r="C75" s="118">
        <v>-1297</v>
      </c>
      <c r="D75" s="67">
        <v>0</v>
      </c>
      <c r="E75" s="125">
        <f t="shared" si="7"/>
        <v>-1297</v>
      </c>
      <c r="G75" s="118">
        <f t="shared" si="8"/>
        <v>-1297</v>
      </c>
      <c r="H75" s="67">
        <f t="shared" si="9"/>
        <v>0</v>
      </c>
      <c r="I75" s="125">
        <f t="shared" si="10"/>
        <v>-1297</v>
      </c>
      <c r="J75" s="162"/>
    </row>
    <row r="76" spans="2:10" ht="409.5" outlineLevel="1">
      <c r="B76" s="35" t="s">
        <v>955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>
        <f t="shared" si="9"/>
        <v>0</v>
      </c>
      <c r="I76" s="125">
        <f t="shared" si="10"/>
        <v>0</v>
      </c>
      <c r="J76" s="162"/>
    </row>
    <row r="77" spans="2:10" ht="409.5">
      <c r="B77" s="35" t="s">
        <v>547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  <c r="J77" s="162"/>
    </row>
    <row r="78" spans="2:10" ht="409.5">
      <c r="B78" s="35" t="s">
        <v>548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  <c r="J78" s="162"/>
    </row>
    <row r="79" spans="2:10" ht="409.5">
      <c r="B79" s="35" t="s">
        <v>549</v>
      </c>
      <c r="C79" s="118">
        <v>0</v>
      </c>
      <c r="D79" s="67">
        <v>0</v>
      </c>
      <c r="E79" s="125">
        <f t="shared" si="7"/>
        <v>0</v>
      </c>
      <c r="G79" s="118">
        <f t="shared" si="8"/>
        <v>0</v>
      </c>
      <c r="H79" s="67">
        <f t="shared" si="9"/>
        <v>0</v>
      </c>
      <c r="I79" s="125">
        <f t="shared" si="10"/>
        <v>0</v>
      </c>
      <c r="J79" s="162"/>
    </row>
    <row r="80" spans="2:10" ht="409.5">
      <c r="B80" s="35" t="s">
        <v>550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  <c r="J80" s="162"/>
    </row>
    <row r="81" spans="2:10" ht="409.5">
      <c r="B81" s="35" t="s">
        <v>528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  <c r="J81" s="162"/>
    </row>
    <row r="82" spans="2:10" ht="409.5">
      <c r="B82" s="30" t="s">
        <v>543</v>
      </c>
      <c r="C82" s="120">
        <f>SUM(C72:C81)</f>
        <v>-3522</v>
      </c>
      <c r="D82" s="40">
        <f>SUM(D72:D81)</f>
        <v>6444</v>
      </c>
      <c r="E82" s="120">
        <f>SUM(E72:E81)</f>
        <v>2922</v>
      </c>
      <c r="G82" s="120">
        <f>SUM(G72:G81)</f>
        <v>-3522</v>
      </c>
      <c r="H82" s="40">
        <f>SUM(H72:H81)</f>
        <v>6444</v>
      </c>
      <c r="I82" s="120">
        <f>SUM(I72:I81)</f>
        <v>2922</v>
      </c>
      <c r="J82" s="162"/>
    </row>
    <row r="83" spans="2:10" ht="409.5">
      <c r="B83" s="30"/>
      <c r="C83" s="118"/>
      <c r="D83" s="67"/>
      <c r="E83" s="114"/>
      <c r="G83" s="118"/>
      <c r="H83" s="1"/>
      <c r="I83" s="114"/>
      <c r="J83" s="162"/>
    </row>
    <row r="84" spans="2:10" ht="409.5">
      <c r="B84" s="43" t="s">
        <v>551</v>
      </c>
      <c r="C84" s="118">
        <f>C60+C69+C82</f>
        <v>0</v>
      </c>
      <c r="D84" s="44">
        <f>D60+D69+D82</f>
        <v>0.4580000000005384</v>
      </c>
      <c r="E84" s="118">
        <f>E60+E69+E82</f>
        <v>0.45799999999871943</v>
      </c>
      <c r="G84" s="118">
        <f>G60+G69+G82</f>
        <v>0</v>
      </c>
      <c r="H84" s="44">
        <f>H60+H69+H82</f>
        <v>0.4580000000005384</v>
      </c>
      <c r="I84" s="118">
        <f>I60+I69+I82</f>
        <v>0.45799999999871943</v>
      </c>
      <c r="J84" s="162"/>
    </row>
    <row r="85" spans="2:10" ht="409.5">
      <c r="B85" s="43" t="s">
        <v>552</v>
      </c>
      <c r="C85" s="121">
        <v>400</v>
      </c>
      <c r="D85" s="48">
        <v>0</v>
      </c>
      <c r="E85" s="121">
        <f>C85+D85</f>
        <v>400</v>
      </c>
      <c r="G85" s="121">
        <f>C85+J85</f>
        <v>187</v>
      </c>
      <c r="H85" s="48">
        <v>0</v>
      </c>
      <c r="I85" s="121">
        <f>G85+H85</f>
        <v>187</v>
      </c>
      <c r="J85" s="159">
        <f>187-C85</f>
        <v>-213</v>
      </c>
    </row>
    <row r="86" spans="2:10" ht="13.5" thickBot="1">
      <c r="B86" s="43" t="s">
        <v>553</v>
      </c>
      <c r="C86" s="123">
        <f>SUM(C84:C85)</f>
        <v>400</v>
      </c>
      <c r="D86" s="124">
        <f>SUM(D84:D85)</f>
        <v>0.4580000000005384</v>
      </c>
      <c r="E86" s="123">
        <f>SUM(E84:E85)</f>
        <v>400.4579999999987</v>
      </c>
      <c r="G86" s="123">
        <f>SUM(G84:G85)</f>
        <v>187</v>
      </c>
      <c r="H86" s="124">
        <f>SUM(H84:H85)</f>
        <v>0.4580000000005384</v>
      </c>
      <c r="I86" s="123">
        <f>SUM(I84:I85)</f>
        <v>187.45799999999872</v>
      </c>
      <c r="J86" s="162"/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960</v>
      </c>
      <c r="D92" s="29" t="s">
        <v>960</v>
      </c>
      <c r="E92" s="28" t="s">
        <v>960</v>
      </c>
      <c r="G92" s="28" t="s">
        <v>960</v>
      </c>
      <c r="H92" s="29" t="s">
        <v>960</v>
      </c>
      <c r="I92" s="28" t="s">
        <v>960</v>
      </c>
      <c r="J92" s="157" t="s">
        <v>960</v>
      </c>
    </row>
    <row r="93" spans="2:10" ht="15">
      <c r="B93" s="33" t="s">
        <v>555</v>
      </c>
      <c r="C93" s="116" t="s">
        <v>500</v>
      </c>
      <c r="D93" s="117" t="s">
        <v>1594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1487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v>56290</v>
      </c>
      <c r="D96" s="67">
        <f>-D63</f>
        <v>16000</v>
      </c>
      <c r="E96" s="125">
        <f>C96+D96</f>
        <v>72290</v>
      </c>
      <c r="G96" s="118">
        <f>C96+J96</f>
        <v>68506</v>
      </c>
      <c r="H96" s="67">
        <f>D96</f>
        <v>16000</v>
      </c>
      <c r="I96" s="125">
        <f>G96+H96</f>
        <v>84506</v>
      </c>
      <c r="J96" s="159">
        <f>68506-C96</f>
        <v>12216</v>
      </c>
    </row>
    <row r="97" spans="2:10" ht="409.5">
      <c r="B97" s="35" t="s">
        <v>559</v>
      </c>
      <c r="C97" s="118">
        <v>1124</v>
      </c>
      <c r="D97" s="67">
        <v>0</v>
      </c>
      <c r="E97" s="125">
        <f>C97+D97</f>
        <v>1124</v>
      </c>
      <c r="G97" s="118">
        <f>C97+J97</f>
        <v>1124</v>
      </c>
      <c r="H97" s="67">
        <f>D97</f>
        <v>0</v>
      </c>
      <c r="I97" s="125">
        <f>G97+H97</f>
        <v>1124</v>
      </c>
      <c r="J97" s="159">
        <f>1124-C97</f>
        <v>0</v>
      </c>
    </row>
    <row r="98" spans="2:10" ht="409.5">
      <c r="B98" s="35" t="s">
        <v>560</v>
      </c>
      <c r="C98" s="118">
        <v>711</v>
      </c>
      <c r="D98" s="67">
        <v>0</v>
      </c>
      <c r="E98" s="125">
        <f>C98+D98</f>
        <v>711</v>
      </c>
      <c r="G98" s="118">
        <f>C98+J98</f>
        <v>711</v>
      </c>
      <c r="H98" s="67">
        <f>D98</f>
        <v>0</v>
      </c>
      <c r="I98" s="125">
        <f>G98+H98</f>
        <v>711</v>
      </c>
      <c r="J98" s="159">
        <f>711-C98</f>
        <v>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58125</v>
      </c>
      <c r="D100" s="40">
        <f>SUM(D96:D99)</f>
        <v>16000</v>
      </c>
      <c r="E100" s="120">
        <f>SUM(E96:E99)</f>
        <v>74125</v>
      </c>
      <c r="G100" s="120">
        <f>SUM(G96:G99)</f>
        <v>70341</v>
      </c>
      <c r="H100" s="40">
        <f>SUM(H96:H99)</f>
        <v>16000</v>
      </c>
      <c r="I100" s="120">
        <f>SUM(I96:I99)</f>
        <v>86341</v>
      </c>
      <c r="J100" s="160">
        <f>SUM(J96:J99)</f>
        <v>12216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409.5">
      <c r="B107" s="35" t="s">
        <v>568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409.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409.5">
      <c r="B109" s="30" t="s">
        <v>556</v>
      </c>
      <c r="C109" s="120">
        <f>C100+C108</f>
        <v>58125</v>
      </c>
      <c r="D109" s="40">
        <f>D100+D108</f>
        <v>16000</v>
      </c>
      <c r="E109" s="120">
        <f>E100+E108</f>
        <v>74125</v>
      </c>
      <c r="G109" s="120">
        <f>G100+G108</f>
        <v>70341</v>
      </c>
      <c r="H109" s="40">
        <f>H100+H108</f>
        <v>16000</v>
      </c>
      <c r="I109" s="120">
        <f>I100+I108</f>
        <v>86341</v>
      </c>
      <c r="J109" s="160">
        <f>J100+J108</f>
        <v>12216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340</v>
      </c>
      <c r="D111" s="67">
        <v>0</v>
      </c>
      <c r="E111" s="125">
        <f>C111+D111</f>
        <v>340</v>
      </c>
      <c r="G111" s="118">
        <f>C111+J111</f>
        <v>299</v>
      </c>
      <c r="H111" s="67">
        <f>D111</f>
        <v>0</v>
      </c>
      <c r="I111" s="125">
        <f>G111+H111</f>
        <v>299</v>
      </c>
      <c r="J111" s="159">
        <f>299-C111</f>
        <v>-41</v>
      </c>
    </row>
    <row r="112" spans="2:10" ht="409.5">
      <c r="B112" s="35" t="s">
        <v>571</v>
      </c>
      <c r="C112" s="118">
        <v>25</v>
      </c>
      <c r="D112" s="67">
        <v>0</v>
      </c>
      <c r="E112" s="125">
        <f aca="true" t="shared" si="15" ref="E112:E118">C112+D112</f>
        <v>25</v>
      </c>
      <c r="G112" s="118">
        <f aca="true" t="shared" si="16" ref="G112:G119">C112+J112</f>
        <v>0</v>
      </c>
      <c r="H112" s="67">
        <f aca="true" t="shared" si="17" ref="H112:H118">D112</f>
        <v>0</v>
      </c>
      <c r="I112" s="125">
        <f aca="true" t="shared" si="18" ref="I112:I119">G112+H112</f>
        <v>0</v>
      </c>
      <c r="J112" s="159">
        <f>0-C112</f>
        <v>-25</v>
      </c>
    </row>
    <row r="113" spans="2:10" ht="409.5">
      <c r="B113" s="35" t="s">
        <v>572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0</v>
      </c>
      <c r="H113" s="67">
        <f t="shared" si="17"/>
        <v>0</v>
      </c>
      <c r="I113" s="125">
        <f t="shared" si="18"/>
        <v>0</v>
      </c>
      <c r="J113" s="159">
        <v>0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409.5">
      <c r="B116" s="35" t="s">
        <v>575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409.5">
      <c r="B119" s="35" t="s">
        <v>41</v>
      </c>
      <c r="C119" s="118">
        <v>400</v>
      </c>
      <c r="D119" s="44">
        <f>D84</f>
        <v>0.4580000000005384</v>
      </c>
      <c r="E119" s="118">
        <f>C119+D119</f>
        <v>400.45800000000054</v>
      </c>
      <c r="G119" s="118">
        <f t="shared" si="16"/>
        <v>187</v>
      </c>
      <c r="H119" s="44">
        <f>H84</f>
        <v>0.4580000000005384</v>
      </c>
      <c r="I119" s="125">
        <f t="shared" si="18"/>
        <v>187.45800000000054</v>
      </c>
      <c r="J119" s="159">
        <f>187-C119</f>
        <v>-213</v>
      </c>
    </row>
    <row r="120" spans="2:10" ht="409.5">
      <c r="B120" s="30" t="s">
        <v>569</v>
      </c>
      <c r="C120" s="120">
        <f>SUM(C111:C119)</f>
        <v>765</v>
      </c>
      <c r="D120" s="40">
        <f>SUM(D111:D119)</f>
        <v>0.4580000000005384</v>
      </c>
      <c r="E120" s="120">
        <f>SUM(E111:E119)</f>
        <v>765.4580000000005</v>
      </c>
      <c r="G120" s="120">
        <f>SUM(G111:G119)</f>
        <v>486</v>
      </c>
      <c r="H120" s="40">
        <f>SUM(H111:H119)</f>
        <v>0.4580000000005384</v>
      </c>
      <c r="I120" s="120">
        <f>SUM(I111:I119)</f>
        <v>486.45800000000054</v>
      </c>
      <c r="J120" s="160">
        <f>SUM(J111:J119)</f>
        <v>-279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58890</v>
      </c>
      <c r="D122" s="128">
        <f>D109+D120</f>
        <v>16000.458</v>
      </c>
      <c r="E122" s="127">
        <f>E109+E120</f>
        <v>74890.458</v>
      </c>
      <c r="G122" s="127">
        <f>G109+G120</f>
        <v>70827</v>
      </c>
      <c r="H122" s="128">
        <f>H109+H120</f>
        <v>16000.458</v>
      </c>
      <c r="I122" s="127">
        <f>I109+I120</f>
        <v>86827.458</v>
      </c>
      <c r="J122" s="161">
        <f>J109+J120</f>
        <v>11937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409.5">
      <c r="B130" s="66"/>
      <c r="C130" s="28" t="s">
        <v>960</v>
      </c>
      <c r="D130" s="29" t="s">
        <v>960</v>
      </c>
      <c r="E130" s="28" t="s">
        <v>960</v>
      </c>
      <c r="G130" s="28" t="s">
        <v>960</v>
      </c>
      <c r="H130" s="29" t="s">
        <v>960</v>
      </c>
      <c r="I130" s="28" t="s">
        <v>960</v>
      </c>
      <c r="J130" s="157" t="s">
        <v>960</v>
      </c>
    </row>
    <row r="131" spans="2:10" ht="15">
      <c r="B131" s="33" t="s">
        <v>579</v>
      </c>
      <c r="C131" s="116" t="s">
        <v>500</v>
      </c>
      <c r="D131" s="117" t="s">
        <v>1595</v>
      </c>
      <c r="E131" s="116" t="s">
        <v>501</v>
      </c>
      <c r="G131" s="116" t="s">
        <v>500</v>
      </c>
      <c r="H131" s="117" t="s">
        <v>1486</v>
      </c>
      <c r="I131" s="116" t="s">
        <v>501</v>
      </c>
      <c r="J131" s="158" t="s">
        <v>1487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27902</v>
      </c>
      <c r="D133" s="67">
        <f>D45</f>
        <v>9556.458</v>
      </c>
      <c r="E133" s="125">
        <f>C133+D133</f>
        <v>37458.458</v>
      </c>
      <c r="G133" s="118">
        <f>C133+J133</f>
        <v>24013</v>
      </c>
      <c r="H133" s="67">
        <f>H45</f>
        <v>9556.458</v>
      </c>
      <c r="I133" s="125">
        <f>G133+H133</f>
        <v>33569.458</v>
      </c>
      <c r="J133" s="159">
        <f>24013-C133</f>
        <v>-3889</v>
      </c>
    </row>
    <row r="134" spans="2:10" ht="409.5">
      <c r="B134" s="35" t="s">
        <v>582</v>
      </c>
      <c r="C134" s="118">
        <v>3100</v>
      </c>
      <c r="D134" s="1">
        <v>0</v>
      </c>
      <c r="E134" s="125">
        <f>C134+D134</f>
        <v>3100</v>
      </c>
      <c r="G134" s="118">
        <f>C134+J134</f>
        <v>2668</v>
      </c>
      <c r="H134" s="67">
        <f>D134</f>
        <v>0</v>
      </c>
      <c r="I134" s="125">
        <f>G134+H134</f>
        <v>2668</v>
      </c>
      <c r="J134" s="159">
        <f>2668-C134</f>
        <v>-432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31002</v>
      </c>
      <c r="D136" s="40">
        <f>SUM(D133:D135)</f>
        <v>9556.458</v>
      </c>
      <c r="E136" s="120">
        <f>SUM(E133:E135)</f>
        <v>40558.458</v>
      </c>
      <c r="G136" s="120">
        <f>SUM(G133:G135)</f>
        <v>26681</v>
      </c>
      <c r="H136" s="40">
        <f>SUM(H133:H135)</f>
        <v>9556.458</v>
      </c>
      <c r="I136" s="120">
        <f>SUM(I133:I135)</f>
        <v>36237.458</v>
      </c>
      <c r="J136" s="160">
        <f>SUM(J133:J135)</f>
        <v>-4321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19805</v>
      </c>
      <c r="D138" s="67">
        <f>D50</f>
        <v>0</v>
      </c>
      <c r="E138" s="125">
        <f>C138+D138</f>
        <v>19805</v>
      </c>
      <c r="G138" s="118">
        <f>C138+J138</f>
        <v>27699</v>
      </c>
      <c r="H138" s="67">
        <f>H50</f>
        <v>0</v>
      </c>
      <c r="I138" s="125">
        <f>G138+H138</f>
        <v>27699</v>
      </c>
      <c r="J138" s="159">
        <f>27699-C138</f>
        <v>7894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19805</v>
      </c>
      <c r="D140" s="40">
        <f>SUM(D138:D139)</f>
        <v>0</v>
      </c>
      <c r="E140" s="120">
        <f>SUM(E138:E139)</f>
        <v>19805</v>
      </c>
      <c r="G140" s="120">
        <f>SUM(G138:G139)</f>
        <v>27699</v>
      </c>
      <c r="H140" s="40">
        <f>SUM(H138:H139)</f>
        <v>0</v>
      </c>
      <c r="I140" s="120">
        <f>SUM(I138:I139)</f>
        <v>27699</v>
      </c>
      <c r="J140" s="160">
        <f>SUM(J138:J139)</f>
        <v>7894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0</v>
      </c>
      <c r="H146" s="40">
        <f>SUM(H142:H145)</f>
        <v>0</v>
      </c>
      <c r="I146" s="120">
        <f>SUM(I142:I145)</f>
        <v>0</v>
      </c>
      <c r="J146" s="160">
        <f>SUM(J142:J145)</f>
        <v>0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 aca="true" t="shared" si="20" ref="G149:G157">C149+J149</f>
        <v>0</v>
      </c>
      <c r="H149" s="1">
        <f aca="true" t="shared" si="21" ref="H149:H157">D149</f>
        <v>0</v>
      </c>
      <c r="I149" s="125">
        <f aca="true" t="shared" si="22" ref="I149:I157">G149+H149</f>
        <v>0</v>
      </c>
      <c r="J149" s="159">
        <v>0</v>
      </c>
    </row>
    <row r="150" spans="2:10" ht="409.5">
      <c r="B150" s="35" t="s">
        <v>590</v>
      </c>
      <c r="C150" s="118">
        <v>3527</v>
      </c>
      <c r="D150" s="67">
        <f>D73</f>
        <v>6444</v>
      </c>
      <c r="E150" s="125">
        <f t="shared" si="19"/>
        <v>9971</v>
      </c>
      <c r="G150" s="118">
        <f t="shared" si="20"/>
        <v>9571</v>
      </c>
      <c r="H150" s="1">
        <f t="shared" si="21"/>
        <v>6444</v>
      </c>
      <c r="I150" s="125">
        <f t="shared" si="22"/>
        <v>16015</v>
      </c>
      <c r="J150" s="159">
        <f>9571-C150</f>
        <v>6044</v>
      </c>
    </row>
    <row r="151" spans="2:10" ht="409.5">
      <c r="B151" s="35" t="s">
        <v>594</v>
      </c>
      <c r="C151" s="118">
        <v>0</v>
      </c>
      <c r="D151" s="1">
        <v>0</v>
      </c>
      <c r="E151" s="125">
        <f t="shared" si="19"/>
        <v>0</v>
      </c>
      <c r="G151" s="118">
        <f t="shared" si="20"/>
        <v>0</v>
      </c>
      <c r="H151" s="1">
        <f t="shared" si="21"/>
        <v>0</v>
      </c>
      <c r="I151" s="125">
        <f t="shared" si="22"/>
        <v>0</v>
      </c>
      <c r="J151" s="159">
        <v>0</v>
      </c>
    </row>
    <row r="152" spans="2:10" ht="409.5">
      <c r="B152" s="69" t="s">
        <v>595</v>
      </c>
      <c r="C152" s="118">
        <v>1556</v>
      </c>
      <c r="D152" s="1">
        <v>0</v>
      </c>
      <c r="E152" s="125">
        <f t="shared" si="19"/>
        <v>1556</v>
      </c>
      <c r="G152" s="118">
        <f t="shared" si="20"/>
        <v>1250</v>
      </c>
      <c r="H152" s="1">
        <f t="shared" si="21"/>
        <v>0</v>
      </c>
      <c r="I152" s="125">
        <f t="shared" si="22"/>
        <v>1250</v>
      </c>
      <c r="J152" s="159">
        <f>1250-C152</f>
        <v>-306</v>
      </c>
    </row>
    <row r="153" spans="2:10" ht="409.5">
      <c r="B153" s="35" t="s">
        <v>596</v>
      </c>
      <c r="C153" s="118">
        <v>0</v>
      </c>
      <c r="D153" s="1">
        <v>0</v>
      </c>
      <c r="E153" s="125">
        <f t="shared" si="19"/>
        <v>0</v>
      </c>
      <c r="G153" s="118">
        <f t="shared" si="20"/>
        <v>0</v>
      </c>
      <c r="H153" s="1">
        <f t="shared" si="21"/>
        <v>0</v>
      </c>
      <c r="I153" s="125">
        <f t="shared" si="22"/>
        <v>0</v>
      </c>
      <c r="J153" s="159">
        <v>0</v>
      </c>
    </row>
    <row r="154" spans="2:10" ht="409.5">
      <c r="B154" s="35" t="s">
        <v>597</v>
      </c>
      <c r="C154" s="118">
        <v>0</v>
      </c>
      <c r="D154" s="1">
        <v>0</v>
      </c>
      <c r="E154" s="125">
        <f t="shared" si="19"/>
        <v>0</v>
      </c>
      <c r="G154" s="118">
        <f t="shared" si="20"/>
        <v>0</v>
      </c>
      <c r="H154" s="1">
        <f t="shared" si="21"/>
        <v>0</v>
      </c>
      <c r="I154" s="125">
        <f t="shared" si="22"/>
        <v>0</v>
      </c>
      <c r="J154" s="159">
        <v>0</v>
      </c>
    </row>
    <row r="155" spans="2:10" ht="409.5">
      <c r="B155" s="35" t="s">
        <v>598</v>
      </c>
      <c r="C155" s="118">
        <v>0</v>
      </c>
      <c r="D155" s="1">
        <v>0</v>
      </c>
      <c r="E155" s="125">
        <f t="shared" si="19"/>
        <v>0</v>
      </c>
      <c r="G155" s="118">
        <f t="shared" si="20"/>
        <v>0</v>
      </c>
      <c r="H155" s="1">
        <f t="shared" si="21"/>
        <v>0</v>
      </c>
      <c r="I155" s="125">
        <f t="shared" si="22"/>
        <v>0</v>
      </c>
      <c r="J155" s="159">
        <v>0</v>
      </c>
    </row>
    <row r="156" spans="2:10" ht="409.5">
      <c r="B156" s="35" t="s">
        <v>599</v>
      </c>
      <c r="C156" s="118">
        <v>3000</v>
      </c>
      <c r="D156" s="1">
        <v>0</v>
      </c>
      <c r="E156" s="125">
        <f t="shared" si="19"/>
        <v>3000</v>
      </c>
      <c r="G156" s="118">
        <f t="shared" si="20"/>
        <v>5626</v>
      </c>
      <c r="H156" s="1">
        <f t="shared" si="21"/>
        <v>0</v>
      </c>
      <c r="I156" s="125">
        <f t="shared" si="22"/>
        <v>5626</v>
      </c>
      <c r="J156" s="159">
        <f>5626-C156</f>
        <v>2626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19"/>
        <v>0</v>
      </c>
      <c r="G157" s="118">
        <f t="shared" si="20"/>
        <v>0</v>
      </c>
      <c r="H157" s="1">
        <f t="shared" si="21"/>
        <v>0</v>
      </c>
      <c r="I157" s="125">
        <f t="shared" si="22"/>
        <v>0</v>
      </c>
      <c r="J157" s="159">
        <v>0</v>
      </c>
    </row>
    <row r="158" spans="2:10" ht="409.5">
      <c r="B158" s="30" t="s">
        <v>592</v>
      </c>
      <c r="C158" s="120">
        <f>SUM(C148:C157)</f>
        <v>8083</v>
      </c>
      <c r="D158" s="40">
        <f>SUM(D148:D157)</f>
        <v>6444</v>
      </c>
      <c r="E158" s="120">
        <f>SUM(E148:E157)</f>
        <v>14527</v>
      </c>
      <c r="G158" s="120">
        <f>SUM(G148:G157)</f>
        <v>16447</v>
      </c>
      <c r="H158" s="40">
        <f>SUM(H148:H157)</f>
        <v>6444</v>
      </c>
      <c r="I158" s="120">
        <f>SUM(I148:I157)</f>
        <v>22891</v>
      </c>
      <c r="J158" s="160">
        <f>SUM(J148:J157)</f>
        <v>8364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27888</v>
      </c>
      <c r="D160" s="40">
        <f>D140+D146+D158</f>
        <v>6444</v>
      </c>
      <c r="E160" s="120">
        <f>E140+E146+E158</f>
        <v>34332</v>
      </c>
      <c r="G160" s="120">
        <f>G140+G146+G158</f>
        <v>44146</v>
      </c>
      <c r="H160" s="40">
        <f>H140+H146+H158</f>
        <v>6444</v>
      </c>
      <c r="I160" s="120">
        <f>I140+I146+I158</f>
        <v>50590</v>
      </c>
      <c r="J160" s="160">
        <f>J140+J146+J158</f>
        <v>16258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58890</v>
      </c>
      <c r="D162" s="127">
        <f>D136+D160</f>
        <v>16000.458</v>
      </c>
      <c r="E162" s="127">
        <f>E136+E160</f>
        <v>74890.458</v>
      </c>
      <c r="G162" s="127">
        <f>G136+G160</f>
        <v>70827</v>
      </c>
      <c r="H162" s="128">
        <f>H136+H160</f>
        <v>16000.458</v>
      </c>
      <c r="I162" s="127">
        <f>I136+I160</f>
        <v>86827.458</v>
      </c>
      <c r="J162" s="161">
        <f>J136+J160</f>
        <v>11937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4">
      <selection activeCell="D16" sqref="D16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965</v>
      </c>
      <c r="D5" s="29" t="s">
        <v>965</v>
      </c>
      <c r="E5" s="28" t="s">
        <v>965</v>
      </c>
      <c r="G5" s="28" t="s">
        <v>965</v>
      </c>
      <c r="H5" s="29" t="s">
        <v>965</v>
      </c>
      <c r="I5" s="28" t="s">
        <v>965</v>
      </c>
    </row>
    <row r="6" spans="2:9" ht="15">
      <c r="B6" s="30" t="s">
        <v>499</v>
      </c>
      <c r="C6" s="116" t="s">
        <v>500</v>
      </c>
      <c r="D6" s="117" t="s">
        <v>1594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-57996</v>
      </c>
      <c r="D8" s="67">
        <v>0</v>
      </c>
      <c r="E8" s="119">
        <f>C8+D8</f>
        <v>-57996</v>
      </c>
      <c r="G8" s="118">
        <f aca="true" t="shared" si="0" ref="G8:H10">C8</f>
        <v>-57996</v>
      </c>
      <c r="H8" s="67">
        <f t="shared" si="0"/>
        <v>0</v>
      </c>
      <c r="I8" s="119">
        <f>G8+H8</f>
        <v>-57996</v>
      </c>
    </row>
    <row r="9" spans="2:9" ht="12.75">
      <c r="B9" s="35" t="s">
        <v>503</v>
      </c>
      <c r="C9" s="118">
        <v>0</v>
      </c>
      <c r="D9" s="67"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504</v>
      </c>
      <c r="C10" s="118">
        <v>-820086</v>
      </c>
      <c r="D10" s="67">
        <f>34936658/1000</f>
        <v>34936.658</v>
      </c>
      <c r="E10" s="119">
        <f>C10+D10</f>
        <v>-785149.342</v>
      </c>
      <c r="G10" s="118">
        <f t="shared" si="0"/>
        <v>-820086</v>
      </c>
      <c r="H10" s="67">
        <f t="shared" si="0"/>
        <v>34936.658</v>
      </c>
      <c r="I10" s="119">
        <f>G10+H10</f>
        <v>-785149.342</v>
      </c>
    </row>
    <row r="11" spans="2:9" ht="12.75">
      <c r="B11" s="38"/>
      <c r="C11" s="120">
        <f>SUM(C8:C10)</f>
        <v>-878082</v>
      </c>
      <c r="D11" s="40">
        <f>SUM(D8:D10)</f>
        <v>34936.658</v>
      </c>
      <c r="E11" s="120">
        <f>SUM(E8:E10)</f>
        <v>-843145.342</v>
      </c>
      <c r="G11" s="120">
        <f>SUM(G8:G10)</f>
        <v>-878082</v>
      </c>
      <c r="H11" s="40">
        <f>SUM(H8:H10)</f>
        <v>34936.658</v>
      </c>
      <c r="I11" s="120">
        <f>SUM(I8:I10)</f>
        <v>-843145.342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0</v>
      </c>
      <c r="D14" s="67">
        <v>0</v>
      </c>
      <c r="E14" s="119">
        <f>C14+D14</f>
        <v>0</v>
      </c>
      <c r="G14" s="118">
        <f aca="true" t="shared" si="1" ref="G14:H16">C14</f>
        <v>0</v>
      </c>
      <c r="H14" s="67">
        <f t="shared" si="1"/>
        <v>0</v>
      </c>
      <c r="I14" s="119">
        <f>G14+H14</f>
        <v>0</v>
      </c>
    </row>
    <row r="15" spans="2:9" ht="12.75">
      <c r="B15" s="35" t="s">
        <v>507</v>
      </c>
      <c r="C15" s="118">
        <v>-878082</v>
      </c>
      <c r="D15" s="67">
        <f>34936658/1000</f>
        <v>34936.658</v>
      </c>
      <c r="E15" s="119">
        <f>C15+D15</f>
        <v>-843145.342</v>
      </c>
      <c r="G15" s="118">
        <f t="shared" si="1"/>
        <v>-878082</v>
      </c>
      <c r="H15" s="67">
        <f t="shared" si="1"/>
        <v>34936.658</v>
      </c>
      <c r="I15" s="119">
        <f>G15+H15</f>
        <v>-843145.342</v>
      </c>
    </row>
    <row r="16" spans="2:9" ht="12.75">
      <c r="B16" s="35" t="s">
        <v>508</v>
      </c>
      <c r="C16" s="118">
        <v>0</v>
      </c>
      <c r="D16" s="67"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-878082</v>
      </c>
      <c r="D17" s="40">
        <f>SUM(D14:D16)</f>
        <v>34936.658</v>
      </c>
      <c r="E17" s="120">
        <f>SUM(E14:E16)</f>
        <v>-843145.342</v>
      </c>
      <c r="G17" s="120">
        <f>SUM(G14:G16)</f>
        <v>-878082</v>
      </c>
      <c r="H17" s="40">
        <f>SUM(H14:H16)</f>
        <v>34936.658</v>
      </c>
      <c r="I17" s="120">
        <f>SUM(I14:I16)</f>
        <v>-843145.342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</v>
      </c>
      <c r="D19" s="71" t="s">
        <v>1</v>
      </c>
      <c r="E19" s="68">
        <f>(E11-E17)/E11</f>
        <v>0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0</v>
      </c>
      <c r="D20" s="67">
        <v>0</v>
      </c>
      <c r="E20" s="119">
        <f>C20+D20</f>
        <v>0</v>
      </c>
      <c r="G20" s="118">
        <f>C20</f>
        <v>0</v>
      </c>
      <c r="H20" s="67">
        <f>D20</f>
        <v>0</v>
      </c>
      <c r="I20" s="119">
        <f>G20+H20</f>
        <v>0</v>
      </c>
    </row>
    <row r="21" spans="2:9" ht="12.75">
      <c r="B21" s="35" t="s">
        <v>511</v>
      </c>
      <c r="C21" s="120">
        <f>C11-C17-C20</f>
        <v>0</v>
      </c>
      <c r="D21" s="40">
        <f>D11-D17-D20</f>
        <v>0</v>
      </c>
      <c r="E21" s="120">
        <f>E11-E17-E20</f>
        <v>0</v>
      </c>
      <c r="G21" s="120">
        <f>G11-G17-G20</f>
        <v>0</v>
      </c>
      <c r="H21" s="40">
        <f>H11-H17-H20</f>
        <v>0</v>
      </c>
      <c r="I21" s="120">
        <f>I11-I17-I20</f>
        <v>0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0</v>
      </c>
      <c r="D24" s="40">
        <v>0</v>
      </c>
      <c r="E24" s="120">
        <f>C24+D24</f>
        <v>0</v>
      </c>
      <c r="G24" s="120">
        <f>C24</f>
        <v>0</v>
      </c>
      <c r="H24" s="40">
        <f>D24</f>
        <v>0</v>
      </c>
      <c r="I24" s="120">
        <f>G24+H24</f>
        <v>0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/>
      <c r="D26" s="44"/>
      <c r="E26" s="118"/>
      <c r="G26" s="118"/>
      <c r="H26" s="44"/>
      <c r="I26" s="118"/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409.5">
      <c r="B30" s="46" t="s">
        <v>516</v>
      </c>
      <c r="C30" s="118">
        <f>C21+C24+C29</f>
        <v>0</v>
      </c>
      <c r="D30" s="44">
        <f>D21+D24+D29</f>
        <v>0</v>
      </c>
      <c r="E30" s="118">
        <f>E21+E24+E29</f>
        <v>0</v>
      </c>
      <c r="G30" s="118">
        <f>G21+G24+G29</f>
        <v>0</v>
      </c>
      <c r="H30" s="44">
        <f>H21+H24+H29</f>
        <v>0</v>
      </c>
      <c r="I30" s="118">
        <f>I21+I24+I29</f>
        <v>0</v>
      </c>
    </row>
    <row r="31" spans="2:9" ht="409.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409.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0</v>
      </c>
      <c r="D33" s="124">
        <f>SUM(D30:D32)</f>
        <v>0</v>
      </c>
      <c r="E33" s="123">
        <f>SUM(E30:E32)</f>
        <v>0</v>
      </c>
      <c r="G33" s="123">
        <f>SUM(G30:G32)</f>
        <v>0</v>
      </c>
      <c r="H33" s="124">
        <f>SUM(H30:H32)</f>
        <v>0</v>
      </c>
      <c r="I33" s="123">
        <f>SUM(I30:I32)</f>
        <v>0</v>
      </c>
    </row>
    <row r="34" spans="2:8" ht="13.5" thickTop="1">
      <c r="B34" s="53"/>
      <c r="C34" s="53"/>
      <c r="G34" s="53"/>
      <c r="H34" s="1"/>
    </row>
    <row r="35" spans="2:8" ht="409.5">
      <c r="B35" s="53"/>
      <c r="C35" s="53"/>
      <c r="G35" s="53"/>
      <c r="H35" s="1"/>
    </row>
    <row r="36" spans="2:8" ht="409.5">
      <c r="B36" s="53"/>
      <c r="C36" s="53"/>
      <c r="G36" s="53"/>
      <c r="H36" s="1"/>
    </row>
    <row r="37" spans="2:8" ht="409.5">
      <c r="B37" s="53"/>
      <c r="C37" s="53"/>
      <c r="G37" s="53"/>
      <c r="H37" s="1"/>
    </row>
    <row r="38" spans="2:8" ht="409.5">
      <c r="B38" s="53"/>
      <c r="C38" s="53"/>
      <c r="G38" s="53"/>
      <c r="H38" s="1"/>
    </row>
    <row r="39" s="1" customFormat="1" ht="409.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409.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965</v>
      </c>
      <c r="D42" s="29" t="s">
        <v>965</v>
      </c>
      <c r="E42" s="28" t="s">
        <v>965</v>
      </c>
      <c r="G42" s="28" t="s">
        <v>965</v>
      </c>
      <c r="H42" s="29" t="s">
        <v>965</v>
      </c>
      <c r="I42" s="28" t="s">
        <v>965</v>
      </c>
    </row>
    <row r="43" spans="2:9" ht="15">
      <c r="B43" s="30" t="s">
        <v>520</v>
      </c>
      <c r="C43" s="116" t="s">
        <v>500</v>
      </c>
      <c r="D43" s="117" t="s">
        <v>1595</v>
      </c>
      <c r="E43" s="116" t="s">
        <v>501</v>
      </c>
      <c r="G43" s="116" t="s">
        <v>500</v>
      </c>
      <c r="H43" s="117" t="s">
        <v>714</v>
      </c>
      <c r="I43" s="116" t="s">
        <v>501</v>
      </c>
    </row>
    <row r="44" spans="2:9" ht="409.5">
      <c r="B44" s="33" t="s">
        <v>521</v>
      </c>
      <c r="C44" s="55"/>
      <c r="E44" s="114"/>
      <c r="G44" s="55"/>
      <c r="H44" s="1"/>
      <c r="I44" s="114"/>
    </row>
    <row r="45" spans="2:9" ht="409.5">
      <c r="B45" s="35" t="s">
        <v>522</v>
      </c>
      <c r="C45" s="118">
        <f>C33</f>
        <v>0</v>
      </c>
      <c r="D45" s="44">
        <f>D33</f>
        <v>0</v>
      </c>
      <c r="E45" s="118">
        <f>E33</f>
        <v>0</v>
      </c>
      <c r="G45" s="118">
        <f>G33</f>
        <v>0</v>
      </c>
      <c r="H45" s="44">
        <f>H33</f>
        <v>0</v>
      </c>
      <c r="I45" s="118">
        <f>I33</f>
        <v>0</v>
      </c>
    </row>
    <row r="46" spans="2:9" ht="409.5">
      <c r="B46" s="35" t="s">
        <v>523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0</v>
      </c>
      <c r="H46" s="44">
        <f>H20</f>
        <v>0</v>
      </c>
      <c r="I46" s="118">
        <f>I20</f>
        <v>0</v>
      </c>
    </row>
    <row r="47" spans="2:9" ht="409.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f aca="true" t="shared" si="2" ref="G47:H49">C47</f>
        <v>0</v>
      </c>
      <c r="H47" s="67">
        <f t="shared" si="2"/>
        <v>0</v>
      </c>
      <c r="I47" s="125">
        <f>G47+H47</f>
        <v>0</v>
      </c>
    </row>
    <row r="48" spans="2:9" ht="409.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</row>
    <row r="49" spans="2:9" ht="409.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</row>
    <row r="50" spans="2:9" ht="409.5">
      <c r="B50" s="35" t="s">
        <v>527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409.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f>C51</f>
        <v>0</v>
      </c>
      <c r="H51" s="67">
        <f>D51</f>
        <v>0</v>
      </c>
      <c r="I51" s="125">
        <f>G51+H51</f>
        <v>0</v>
      </c>
    </row>
    <row r="52" spans="2:9" ht="409.5">
      <c r="B52" s="57" t="s">
        <v>529</v>
      </c>
      <c r="C52" s="120">
        <f>SUM(C45:C51)</f>
        <v>0</v>
      </c>
      <c r="D52" s="40">
        <f>SUM(D45:D51)</f>
        <v>0</v>
      </c>
      <c r="E52" s="120">
        <f>SUM(E45:E51)</f>
        <v>0</v>
      </c>
      <c r="G52" s="120">
        <f>SUM(G45:G51)</f>
        <v>0</v>
      </c>
      <c r="H52" s="40">
        <f>SUM(H45:H51)</f>
        <v>0</v>
      </c>
      <c r="I52" s="120">
        <f>SUM(I45:I51)</f>
        <v>0</v>
      </c>
    </row>
    <row r="53" spans="2:9" ht="409.5">
      <c r="B53" s="58" t="s">
        <v>530</v>
      </c>
      <c r="C53" s="118"/>
      <c r="D53" s="1"/>
      <c r="E53" s="114"/>
      <c r="G53" s="118"/>
      <c r="H53" s="1"/>
      <c r="I53" s="114"/>
    </row>
    <row r="54" spans="2:9" ht="409.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f aca="true" t="shared" si="3" ref="G54:H58">C54</f>
        <v>0</v>
      </c>
      <c r="H54" s="1">
        <f t="shared" si="3"/>
        <v>0</v>
      </c>
      <c r="I54" s="125">
        <f>G54+H54</f>
        <v>0</v>
      </c>
    </row>
    <row r="55" spans="2:9" ht="409.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f t="shared" si="3"/>
        <v>0</v>
      </c>
      <c r="H55" s="1">
        <f t="shared" si="3"/>
        <v>0</v>
      </c>
      <c r="I55" s="125">
        <f>G55+H55</f>
        <v>0</v>
      </c>
    </row>
    <row r="56" spans="2:9" ht="409.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f t="shared" si="3"/>
        <v>0</v>
      </c>
      <c r="H56" s="1">
        <f t="shared" si="3"/>
        <v>0</v>
      </c>
      <c r="I56" s="125">
        <f>G56+H56</f>
        <v>0</v>
      </c>
    </row>
    <row r="57" spans="2:9" ht="409.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f t="shared" si="3"/>
        <v>0</v>
      </c>
      <c r="H57" s="1">
        <f t="shared" si="3"/>
        <v>0</v>
      </c>
      <c r="I57" s="125">
        <f>G57+H57</f>
        <v>0</v>
      </c>
    </row>
    <row r="58" spans="2:9" ht="409.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f t="shared" si="3"/>
        <v>0</v>
      </c>
      <c r="H58" s="126">
        <f t="shared" si="3"/>
        <v>0</v>
      </c>
      <c r="I58" s="147">
        <f>G58+H58</f>
        <v>0</v>
      </c>
    </row>
    <row r="59" spans="2:9" ht="409.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536</v>
      </c>
      <c r="C60" s="123">
        <f>C52+C59</f>
        <v>0</v>
      </c>
      <c r="D60" s="124">
        <f>D52+D59</f>
        <v>0</v>
      </c>
      <c r="E60" s="123">
        <f>E52+E59</f>
        <v>0</v>
      </c>
      <c r="G60" s="123">
        <f>G52+G59</f>
        <v>0</v>
      </c>
      <c r="H60" s="124">
        <f>H52+H59</f>
        <v>0</v>
      </c>
      <c r="I60" s="123">
        <f>I52+I59</f>
        <v>0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409.5">
      <c r="B62" s="33" t="s">
        <v>537</v>
      </c>
      <c r="C62" s="60"/>
      <c r="D62" s="1"/>
      <c r="E62" s="114"/>
      <c r="G62" s="60"/>
      <c r="H62" s="1"/>
      <c r="I62" s="114"/>
    </row>
    <row r="63" spans="2:9" ht="409.5">
      <c r="B63" s="35" t="s">
        <v>538</v>
      </c>
      <c r="C63" s="118">
        <v>0</v>
      </c>
      <c r="D63" s="67">
        <v>0</v>
      </c>
      <c r="E63" s="125">
        <f aca="true" t="shared" si="4" ref="E63:E68">C63+D63</f>
        <v>0</v>
      </c>
      <c r="G63" s="118">
        <f aca="true" t="shared" si="5" ref="G63:G68">C63</f>
        <v>0</v>
      </c>
      <c r="H63" s="67">
        <f aca="true" t="shared" si="6" ref="H63:H68">D63</f>
        <v>0</v>
      </c>
      <c r="I63" s="125">
        <f aca="true" t="shared" si="7" ref="I63:I68">G63+H63</f>
        <v>0</v>
      </c>
    </row>
    <row r="64" spans="2:9" ht="409.5" outlineLevel="1">
      <c r="B64" s="35" t="s">
        <v>539</v>
      </c>
      <c r="C64" s="118">
        <v>0</v>
      </c>
      <c r="D64" s="67">
        <v>0</v>
      </c>
      <c r="E64" s="125">
        <f t="shared" si="4"/>
        <v>0</v>
      </c>
      <c r="G64" s="118">
        <f t="shared" si="5"/>
        <v>0</v>
      </c>
      <c r="H64" s="67">
        <f t="shared" si="6"/>
        <v>0</v>
      </c>
      <c r="I64" s="125">
        <f t="shared" si="7"/>
        <v>0</v>
      </c>
    </row>
    <row r="65" spans="2:9" ht="409.5" outlineLevel="1">
      <c r="B65" s="35" t="s">
        <v>540</v>
      </c>
      <c r="C65" s="118">
        <v>0</v>
      </c>
      <c r="D65" s="67">
        <v>0</v>
      </c>
      <c r="E65" s="125">
        <f t="shared" si="4"/>
        <v>0</v>
      </c>
      <c r="G65" s="118">
        <f t="shared" si="5"/>
        <v>0</v>
      </c>
      <c r="H65" s="67">
        <f t="shared" si="6"/>
        <v>0</v>
      </c>
      <c r="I65" s="125">
        <f t="shared" si="7"/>
        <v>0</v>
      </c>
    </row>
    <row r="66" spans="2:9" ht="409.5">
      <c r="B66" s="35" t="s">
        <v>541</v>
      </c>
      <c r="C66" s="118">
        <v>0</v>
      </c>
      <c r="D66" s="67">
        <v>0</v>
      </c>
      <c r="E66" s="125">
        <f t="shared" si="4"/>
        <v>0</v>
      </c>
      <c r="G66" s="118">
        <f t="shared" si="5"/>
        <v>0</v>
      </c>
      <c r="H66" s="67">
        <f t="shared" si="6"/>
        <v>0</v>
      </c>
      <c r="I66" s="125">
        <f t="shared" si="7"/>
        <v>0</v>
      </c>
    </row>
    <row r="67" spans="2:9" ht="409.5" outlineLevel="1">
      <c r="B67" s="35" t="s">
        <v>542</v>
      </c>
      <c r="C67" s="118">
        <v>355532</v>
      </c>
      <c r="D67" s="67">
        <v>0</v>
      </c>
      <c r="E67" s="125">
        <f t="shared" si="4"/>
        <v>355532</v>
      </c>
      <c r="G67" s="118">
        <f t="shared" si="5"/>
        <v>355532</v>
      </c>
      <c r="H67" s="67">
        <f t="shared" si="6"/>
        <v>0</v>
      </c>
      <c r="I67" s="125">
        <f t="shared" si="7"/>
        <v>355532</v>
      </c>
    </row>
    <row r="68" spans="2:9" ht="409.5" outlineLevel="1">
      <c r="B68" s="35" t="s">
        <v>528</v>
      </c>
      <c r="C68" s="118">
        <v>0</v>
      </c>
      <c r="D68" s="44">
        <v>0</v>
      </c>
      <c r="E68" s="125">
        <f t="shared" si="4"/>
        <v>0</v>
      </c>
      <c r="G68" s="118">
        <f t="shared" si="5"/>
        <v>0</v>
      </c>
      <c r="H68" s="67">
        <f t="shared" si="6"/>
        <v>0</v>
      </c>
      <c r="I68" s="125">
        <f t="shared" si="7"/>
        <v>0</v>
      </c>
    </row>
    <row r="69" spans="2:9" ht="409.5">
      <c r="B69" s="30" t="s">
        <v>537</v>
      </c>
      <c r="C69" s="120">
        <f>SUM(C63:C68)</f>
        <v>355532</v>
      </c>
      <c r="D69" s="40">
        <f>SUM(D63:D68)</f>
        <v>0</v>
      </c>
      <c r="E69" s="120">
        <f>SUM(E63:E68)</f>
        <v>355532</v>
      </c>
      <c r="G69" s="120">
        <f>SUM(G63:G68)</f>
        <v>355532</v>
      </c>
      <c r="H69" s="40">
        <f>SUM(H63:H68)</f>
        <v>0</v>
      </c>
      <c r="I69" s="120">
        <f>SUM(I63:I68)</f>
        <v>355532</v>
      </c>
    </row>
    <row r="70" spans="2:9" ht="409.5">
      <c r="B70" s="41"/>
      <c r="C70" s="118"/>
      <c r="D70" s="67"/>
      <c r="E70" s="114"/>
      <c r="G70" s="118"/>
      <c r="H70" s="1"/>
      <c r="I70" s="114"/>
    </row>
    <row r="71" spans="2:9" ht="409.5">
      <c r="B71" s="33" t="s">
        <v>543</v>
      </c>
      <c r="C71" s="60"/>
      <c r="D71" s="67"/>
      <c r="E71" s="114"/>
      <c r="G71" s="60"/>
      <c r="H71" s="1"/>
      <c r="I71" s="114"/>
    </row>
    <row r="72" spans="2:9" ht="409.5" outlineLevel="1">
      <c r="B72" s="35" t="s">
        <v>957</v>
      </c>
      <c r="C72" s="118">
        <v>-500000</v>
      </c>
      <c r="D72" s="67">
        <v>0</v>
      </c>
      <c r="E72" s="125">
        <f>C72+D72</f>
        <v>-500000</v>
      </c>
      <c r="G72" s="118">
        <f>C72</f>
        <v>-500000</v>
      </c>
      <c r="H72" s="67">
        <f>D72</f>
        <v>0</v>
      </c>
      <c r="I72" s="125">
        <f>G72+H72</f>
        <v>-500000</v>
      </c>
    </row>
    <row r="73" spans="2:9" ht="409.5" outlineLevel="1">
      <c r="B73" s="35" t="s">
        <v>545</v>
      </c>
      <c r="C73" s="118">
        <v>0</v>
      </c>
      <c r="D73" s="67">
        <v>0</v>
      </c>
      <c r="E73" s="125">
        <f aca="true" t="shared" si="8" ref="E73:E81">C73+D73</f>
        <v>0</v>
      </c>
      <c r="G73" s="118">
        <f aca="true" t="shared" si="9" ref="G73:G81">C73</f>
        <v>0</v>
      </c>
      <c r="H73" s="67">
        <f aca="true" t="shared" si="10" ref="H73:H81">D73</f>
        <v>0</v>
      </c>
      <c r="I73" s="125">
        <f aca="true" t="shared" si="11" ref="I73:I81">G73+H73</f>
        <v>0</v>
      </c>
    </row>
    <row r="74" spans="2:9" ht="409.5" outlineLevel="1">
      <c r="B74" s="35" t="s">
        <v>546</v>
      </c>
      <c r="C74" s="118">
        <v>0</v>
      </c>
      <c r="D74" s="67">
        <v>0</v>
      </c>
      <c r="E74" s="125">
        <f t="shared" si="8"/>
        <v>0</v>
      </c>
      <c r="G74" s="118">
        <f t="shared" si="9"/>
        <v>0</v>
      </c>
      <c r="H74" s="67">
        <f t="shared" si="10"/>
        <v>0</v>
      </c>
      <c r="I74" s="125">
        <f t="shared" si="11"/>
        <v>0</v>
      </c>
    </row>
    <row r="75" spans="2:9" ht="409.5" outlineLevel="1">
      <c r="B75" s="35" t="s">
        <v>954</v>
      </c>
      <c r="C75" s="118">
        <v>0</v>
      </c>
      <c r="D75" s="67"/>
      <c r="E75" s="125"/>
      <c r="G75" s="118">
        <f t="shared" si="9"/>
        <v>0</v>
      </c>
      <c r="H75" s="67">
        <f t="shared" si="10"/>
        <v>0</v>
      </c>
      <c r="I75" s="125">
        <f t="shared" si="11"/>
        <v>0</v>
      </c>
    </row>
    <row r="76" spans="2:9" ht="409.5" outlineLevel="1">
      <c r="B76" s="35" t="s">
        <v>955</v>
      </c>
      <c r="C76" s="118">
        <v>0</v>
      </c>
      <c r="D76" s="67"/>
      <c r="E76" s="125"/>
      <c r="G76" s="118">
        <f t="shared" si="9"/>
        <v>0</v>
      </c>
      <c r="H76" s="67">
        <f t="shared" si="10"/>
        <v>0</v>
      </c>
      <c r="I76" s="125">
        <f t="shared" si="11"/>
        <v>0</v>
      </c>
    </row>
    <row r="77" spans="2:9" ht="409.5">
      <c r="B77" s="35" t="s">
        <v>547</v>
      </c>
      <c r="C77" s="118">
        <v>0</v>
      </c>
      <c r="D77" s="67">
        <v>0</v>
      </c>
      <c r="E77" s="125">
        <f t="shared" si="8"/>
        <v>0</v>
      </c>
      <c r="G77" s="118">
        <f t="shared" si="9"/>
        <v>0</v>
      </c>
      <c r="H77" s="67">
        <f t="shared" si="10"/>
        <v>0</v>
      </c>
      <c r="I77" s="125">
        <f t="shared" si="11"/>
        <v>0</v>
      </c>
    </row>
    <row r="78" spans="2:9" ht="409.5">
      <c r="B78" s="35" t="s">
        <v>548</v>
      </c>
      <c r="C78" s="118">
        <v>0</v>
      </c>
      <c r="D78" s="67">
        <v>0</v>
      </c>
      <c r="E78" s="125">
        <f t="shared" si="8"/>
        <v>0</v>
      </c>
      <c r="G78" s="118">
        <f t="shared" si="9"/>
        <v>0</v>
      </c>
      <c r="H78" s="67">
        <f t="shared" si="10"/>
        <v>0</v>
      </c>
      <c r="I78" s="125">
        <f t="shared" si="11"/>
        <v>0</v>
      </c>
    </row>
    <row r="79" spans="2:9" ht="409.5">
      <c r="B79" s="35" t="s">
        <v>549</v>
      </c>
      <c r="C79" s="118">
        <v>144468</v>
      </c>
      <c r="D79" s="67">
        <v>0</v>
      </c>
      <c r="E79" s="125">
        <f t="shared" si="8"/>
        <v>144468</v>
      </c>
      <c r="G79" s="118">
        <f t="shared" si="9"/>
        <v>144468</v>
      </c>
      <c r="H79" s="67">
        <f t="shared" si="10"/>
        <v>0</v>
      </c>
      <c r="I79" s="125">
        <f t="shared" si="11"/>
        <v>144468</v>
      </c>
    </row>
    <row r="80" spans="2:9" ht="409.5">
      <c r="B80" s="35" t="s">
        <v>550</v>
      </c>
      <c r="C80" s="118">
        <v>0</v>
      </c>
      <c r="D80" s="67">
        <v>0</v>
      </c>
      <c r="E80" s="125">
        <f t="shared" si="8"/>
        <v>0</v>
      </c>
      <c r="G80" s="118">
        <f t="shared" si="9"/>
        <v>0</v>
      </c>
      <c r="H80" s="67">
        <f t="shared" si="10"/>
        <v>0</v>
      </c>
      <c r="I80" s="125">
        <f t="shared" si="11"/>
        <v>0</v>
      </c>
    </row>
    <row r="81" spans="2:9" ht="409.5">
      <c r="B81" s="35" t="s">
        <v>528</v>
      </c>
      <c r="C81" s="118">
        <v>0</v>
      </c>
      <c r="D81" s="67">
        <v>0</v>
      </c>
      <c r="E81" s="125">
        <f t="shared" si="8"/>
        <v>0</v>
      </c>
      <c r="G81" s="118">
        <f t="shared" si="9"/>
        <v>0</v>
      </c>
      <c r="H81" s="67">
        <f t="shared" si="10"/>
        <v>0</v>
      </c>
      <c r="I81" s="125">
        <f t="shared" si="11"/>
        <v>0</v>
      </c>
    </row>
    <row r="82" spans="2:9" ht="409.5">
      <c r="B82" s="30" t="s">
        <v>543</v>
      </c>
      <c r="C82" s="120">
        <f>SUM(C72:C81)</f>
        <v>-355532</v>
      </c>
      <c r="D82" s="40">
        <f>SUM(D72:D81)</f>
        <v>0</v>
      </c>
      <c r="E82" s="120">
        <f>SUM(E72:E81)</f>
        <v>-355532</v>
      </c>
      <c r="G82" s="120">
        <f>SUM(G72:G81)</f>
        <v>-355532</v>
      </c>
      <c r="H82" s="40">
        <f>SUM(H72:H81)</f>
        <v>0</v>
      </c>
      <c r="I82" s="120">
        <f>SUM(I72:I81)</f>
        <v>-355532</v>
      </c>
    </row>
    <row r="83" spans="2:9" ht="409.5">
      <c r="B83" s="30"/>
      <c r="C83" s="118"/>
      <c r="D83" s="67"/>
      <c r="E83" s="114"/>
      <c r="G83" s="118"/>
      <c r="H83" s="1"/>
      <c r="I83" s="114"/>
    </row>
    <row r="84" spans="2:9" ht="409.5">
      <c r="B84" s="43" t="s">
        <v>551</v>
      </c>
      <c r="C84" s="118">
        <f>C60+C69+C82</f>
        <v>0</v>
      </c>
      <c r="D84" s="44">
        <f>D60+D69+D82</f>
        <v>0</v>
      </c>
      <c r="E84" s="118">
        <f>E60+E69+E82</f>
        <v>0</v>
      </c>
      <c r="G84" s="118">
        <f>G60+G69+G82</f>
        <v>0</v>
      </c>
      <c r="H84" s="44">
        <f>H60+H69+H82</f>
        <v>0</v>
      </c>
      <c r="I84" s="118">
        <f>I60+I69+I82</f>
        <v>0</v>
      </c>
    </row>
    <row r="85" spans="2:9" ht="409.5">
      <c r="B85" s="43" t="s">
        <v>552</v>
      </c>
      <c r="C85" s="121">
        <v>0</v>
      </c>
      <c r="D85" s="48">
        <v>0</v>
      </c>
      <c r="E85" s="121">
        <f>C85+D85</f>
        <v>0</v>
      </c>
      <c r="G85" s="121">
        <f>C85</f>
        <v>0</v>
      </c>
      <c r="H85" s="48">
        <v>0</v>
      </c>
      <c r="I85" s="121">
        <f>G85+H85</f>
        <v>0</v>
      </c>
    </row>
    <row r="86" spans="2:9" ht="13.5" thickBot="1">
      <c r="B86" s="43" t="s">
        <v>553</v>
      </c>
      <c r="C86" s="123">
        <f>SUM(C84:C85)</f>
        <v>0</v>
      </c>
      <c r="D86" s="124">
        <f>SUM(D84:D85)</f>
        <v>0</v>
      </c>
      <c r="E86" s="123">
        <f>SUM(E84:E85)</f>
        <v>0</v>
      </c>
      <c r="G86" s="123">
        <f>SUM(G84:G85)</f>
        <v>0</v>
      </c>
      <c r="H86" s="124">
        <f>SUM(H84:H85)</f>
        <v>0</v>
      </c>
      <c r="I86" s="123">
        <f>SUM(I84:I85)</f>
        <v>0</v>
      </c>
    </row>
    <row r="87" spans="2:8" ht="13.5" thickTop="1">
      <c r="B87" s="53"/>
      <c r="C87" s="61"/>
      <c r="D87" s="1"/>
      <c r="G87" s="61"/>
      <c r="H87" s="1"/>
    </row>
    <row r="88" spans="2:8" ht="409.5">
      <c r="B88" s="53"/>
      <c r="C88" s="61"/>
      <c r="D88" s="1"/>
      <c r="G88" s="61"/>
      <c r="H88" s="1"/>
    </row>
    <row r="89" s="1" customFormat="1" ht="409.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965</v>
      </c>
      <c r="D92" s="29" t="s">
        <v>965</v>
      </c>
      <c r="E92" s="28" t="s">
        <v>965</v>
      </c>
      <c r="G92" s="28" t="s">
        <v>965</v>
      </c>
      <c r="H92" s="29" t="s">
        <v>965</v>
      </c>
      <c r="I92" s="28" t="s">
        <v>965</v>
      </c>
      <c r="J92" s="157" t="s">
        <v>965</v>
      </c>
    </row>
    <row r="93" spans="2:10" ht="15">
      <c r="B93" s="33" t="s">
        <v>555</v>
      </c>
      <c r="C93" s="116" t="s">
        <v>500</v>
      </c>
      <c r="D93" s="117" t="s">
        <v>1595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1487</v>
      </c>
    </row>
    <row r="94" spans="2:10" ht="409.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409.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v>0</v>
      </c>
      <c r="D96" s="67">
        <v>0</v>
      </c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409.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409.5">
      <c r="B98" s="35" t="s">
        <v>560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409.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0</v>
      </c>
      <c r="H100" s="40">
        <f>SUM(H96:H99)</f>
        <v>0</v>
      </c>
      <c r="I100" s="120">
        <f>SUM(I96:I99)</f>
        <v>0</v>
      </c>
      <c r="J100" s="160">
        <f>SUM(J96:J99)</f>
        <v>0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v>-1300000</v>
      </c>
      <c r="D102" s="67">
        <v>0</v>
      </c>
      <c r="E102" s="125">
        <f aca="true" t="shared" si="12" ref="E102:E107">C102+D102</f>
        <v>-1300000</v>
      </c>
      <c r="G102" s="118">
        <f aca="true" t="shared" si="13" ref="G102:G107">C102+J102</f>
        <v>-1300000</v>
      </c>
      <c r="H102" s="67">
        <f aca="true" t="shared" si="14" ref="H102:H107">D102</f>
        <v>0</v>
      </c>
      <c r="I102" s="125">
        <f aca="true" t="shared" si="15" ref="I102:I107">G102+H102</f>
        <v>-1300000</v>
      </c>
      <c r="J102" s="159">
        <f>-1300000-C102</f>
        <v>0</v>
      </c>
    </row>
    <row r="103" spans="2:10" ht="409.5">
      <c r="B103" s="35" t="s">
        <v>564</v>
      </c>
      <c r="C103" s="118">
        <v>0</v>
      </c>
      <c r="D103" s="67">
        <v>0</v>
      </c>
      <c r="E103" s="125">
        <f t="shared" si="12"/>
        <v>0</v>
      </c>
      <c r="G103" s="118">
        <f t="shared" si="13"/>
        <v>0</v>
      </c>
      <c r="H103" s="67">
        <f t="shared" si="14"/>
        <v>0</v>
      </c>
      <c r="I103" s="125">
        <f t="shared" si="15"/>
        <v>0</v>
      </c>
      <c r="J103" s="159">
        <v>0</v>
      </c>
    </row>
    <row r="104" spans="2:10" ht="409.5">
      <c r="B104" s="35" t="s">
        <v>565</v>
      </c>
      <c r="C104" s="118">
        <v>0</v>
      </c>
      <c r="D104" s="67">
        <v>0</v>
      </c>
      <c r="E104" s="125">
        <f t="shared" si="12"/>
        <v>0</v>
      </c>
      <c r="G104" s="118">
        <f t="shared" si="13"/>
        <v>0</v>
      </c>
      <c r="H104" s="67">
        <f t="shared" si="14"/>
        <v>0</v>
      </c>
      <c r="I104" s="125">
        <f t="shared" si="15"/>
        <v>0</v>
      </c>
      <c r="J104" s="159">
        <v>0</v>
      </c>
    </row>
    <row r="105" spans="2:10" ht="409.5">
      <c r="B105" s="35" t="s">
        <v>566</v>
      </c>
      <c r="C105" s="118">
        <v>0</v>
      </c>
      <c r="D105" s="67">
        <v>0</v>
      </c>
      <c r="E105" s="125">
        <f t="shared" si="12"/>
        <v>0</v>
      </c>
      <c r="G105" s="118">
        <f t="shared" si="13"/>
        <v>0</v>
      </c>
      <c r="H105" s="67">
        <f t="shared" si="14"/>
        <v>0</v>
      </c>
      <c r="I105" s="125">
        <f t="shared" si="15"/>
        <v>0</v>
      </c>
      <c r="J105" s="159">
        <v>0</v>
      </c>
    </row>
    <row r="106" spans="2:10" ht="409.5">
      <c r="B106" s="35" t="s">
        <v>567</v>
      </c>
      <c r="C106" s="118">
        <v>0</v>
      </c>
      <c r="D106" s="67">
        <v>0</v>
      </c>
      <c r="E106" s="125">
        <f t="shared" si="12"/>
        <v>0</v>
      </c>
      <c r="G106" s="118">
        <f t="shared" si="13"/>
        <v>0</v>
      </c>
      <c r="H106" s="67">
        <f t="shared" si="14"/>
        <v>0</v>
      </c>
      <c r="I106" s="125">
        <f t="shared" si="15"/>
        <v>0</v>
      </c>
      <c r="J106" s="159">
        <v>0</v>
      </c>
    </row>
    <row r="107" spans="2:10" ht="409.5">
      <c r="B107" s="35" t="s">
        <v>568</v>
      </c>
      <c r="C107" s="118">
        <v>-2122301</v>
      </c>
      <c r="D107" s="67">
        <v>0</v>
      </c>
      <c r="E107" s="125">
        <f t="shared" si="12"/>
        <v>-2122301</v>
      </c>
      <c r="G107" s="118">
        <f t="shared" si="13"/>
        <v>-1513968</v>
      </c>
      <c r="H107" s="67">
        <f t="shared" si="14"/>
        <v>0</v>
      </c>
      <c r="I107" s="125">
        <f t="shared" si="15"/>
        <v>-1513968</v>
      </c>
      <c r="J107" s="159">
        <f>-1513968-C107</f>
        <v>608333</v>
      </c>
    </row>
    <row r="108" spans="2:10" ht="409.5">
      <c r="B108" s="35"/>
      <c r="C108" s="120">
        <f>SUM(C102:C107)</f>
        <v>-3422301</v>
      </c>
      <c r="D108" s="40">
        <f>SUM(D102:D107)</f>
        <v>0</v>
      </c>
      <c r="E108" s="120">
        <f>SUM(E102:E107)</f>
        <v>-3422301</v>
      </c>
      <c r="G108" s="120">
        <f>SUM(G102:G107)</f>
        <v>-2813968</v>
      </c>
      <c r="H108" s="40">
        <f>SUM(H102:H107)</f>
        <v>0</v>
      </c>
      <c r="I108" s="120">
        <f>SUM(I102:I107)</f>
        <v>-2813968</v>
      </c>
      <c r="J108" s="160">
        <f>SUM(J102:J107)</f>
        <v>608333</v>
      </c>
    </row>
    <row r="109" spans="2:10" ht="409.5">
      <c r="B109" s="30" t="s">
        <v>556</v>
      </c>
      <c r="C109" s="120">
        <f>C100+C108</f>
        <v>-3422301</v>
      </c>
      <c r="D109" s="40">
        <f>D100+D108</f>
        <v>0</v>
      </c>
      <c r="E109" s="120">
        <f>E100+E108</f>
        <v>-3422301</v>
      </c>
      <c r="G109" s="120">
        <f>G100+G108</f>
        <v>-2813968</v>
      </c>
      <c r="H109" s="40">
        <f>H100+H108</f>
        <v>0</v>
      </c>
      <c r="I109" s="120">
        <f>I100+I108</f>
        <v>-2813968</v>
      </c>
      <c r="J109" s="160">
        <f>J100+J108</f>
        <v>608333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409.5">
      <c r="B112" s="35" t="s">
        <v>571</v>
      </c>
      <c r="C112" s="118">
        <v>0</v>
      </c>
      <c r="D112" s="67">
        <v>0</v>
      </c>
      <c r="E112" s="125">
        <f aca="true" t="shared" si="16" ref="E112:E118">C112+D112</f>
        <v>0</v>
      </c>
      <c r="G112" s="118">
        <f aca="true" t="shared" si="17" ref="G112:G119">C112+J112</f>
        <v>0</v>
      </c>
      <c r="H112" s="67">
        <f aca="true" t="shared" si="18" ref="H112:H118">D112</f>
        <v>0</v>
      </c>
      <c r="I112" s="125">
        <f aca="true" t="shared" si="19" ref="I112:I118">G112+H112</f>
        <v>0</v>
      </c>
      <c r="J112" s="159">
        <v>0</v>
      </c>
    </row>
    <row r="113" spans="2:10" ht="409.5">
      <c r="B113" s="35" t="s">
        <v>572</v>
      </c>
      <c r="C113" s="118">
        <v>-97987</v>
      </c>
      <c r="D113" s="67">
        <v>0</v>
      </c>
      <c r="E113" s="125">
        <f t="shared" si="16"/>
        <v>-97987</v>
      </c>
      <c r="G113" s="118">
        <f t="shared" si="17"/>
        <v>-19113</v>
      </c>
      <c r="H113" s="67">
        <f t="shared" si="18"/>
        <v>0</v>
      </c>
      <c r="I113" s="125">
        <f t="shared" si="19"/>
        <v>-19113</v>
      </c>
      <c r="J113" s="159">
        <f>-19113-C113</f>
        <v>78874</v>
      </c>
    </row>
    <row r="114" spans="2:10" ht="409.5">
      <c r="B114" s="35" t="s">
        <v>573</v>
      </c>
      <c r="C114" s="118">
        <v>0</v>
      </c>
      <c r="D114" s="67">
        <v>0</v>
      </c>
      <c r="E114" s="125">
        <f t="shared" si="16"/>
        <v>0</v>
      </c>
      <c r="G114" s="118">
        <f t="shared" si="17"/>
        <v>0</v>
      </c>
      <c r="H114" s="67">
        <f t="shared" si="18"/>
        <v>0</v>
      </c>
      <c r="I114" s="125">
        <f t="shared" si="19"/>
        <v>0</v>
      </c>
      <c r="J114" s="159">
        <v>0</v>
      </c>
    </row>
    <row r="115" spans="2:10" ht="409.5">
      <c r="B115" s="35" t="s">
        <v>574</v>
      </c>
      <c r="C115" s="118">
        <v>0</v>
      </c>
      <c r="D115" s="67">
        <v>0</v>
      </c>
      <c r="E115" s="125">
        <f t="shared" si="16"/>
        <v>0</v>
      </c>
      <c r="G115" s="118">
        <f t="shared" si="17"/>
        <v>0</v>
      </c>
      <c r="H115" s="67">
        <f t="shared" si="18"/>
        <v>0</v>
      </c>
      <c r="I115" s="125">
        <f t="shared" si="19"/>
        <v>0</v>
      </c>
      <c r="J115" s="159">
        <v>0</v>
      </c>
    </row>
    <row r="116" spans="2:10" ht="409.5">
      <c r="B116" s="35" t="s">
        <v>575</v>
      </c>
      <c r="C116" s="118">
        <v>-124130</v>
      </c>
      <c r="D116" s="67">
        <v>0</v>
      </c>
      <c r="E116" s="125">
        <f t="shared" si="16"/>
        <v>-124130</v>
      </c>
      <c r="G116" s="118">
        <f t="shared" si="17"/>
        <v>-78788</v>
      </c>
      <c r="H116" s="67">
        <f t="shared" si="18"/>
        <v>0</v>
      </c>
      <c r="I116" s="125">
        <f t="shared" si="19"/>
        <v>-78788</v>
      </c>
      <c r="J116" s="159">
        <f>-78788-C116</f>
        <v>45342</v>
      </c>
    </row>
    <row r="117" spans="2:10" ht="409.5">
      <c r="B117" s="35" t="s">
        <v>576</v>
      </c>
      <c r="C117" s="118">
        <v>0</v>
      </c>
      <c r="D117" s="67">
        <v>0</v>
      </c>
      <c r="E117" s="125">
        <f t="shared" si="16"/>
        <v>0</v>
      </c>
      <c r="G117" s="118">
        <f t="shared" si="17"/>
        <v>0</v>
      </c>
      <c r="H117" s="67">
        <f t="shared" si="18"/>
        <v>0</v>
      </c>
      <c r="I117" s="125">
        <f t="shared" si="19"/>
        <v>0</v>
      </c>
      <c r="J117" s="159">
        <v>0</v>
      </c>
    </row>
    <row r="118" spans="2:10" ht="409.5">
      <c r="B118" s="35" t="s">
        <v>577</v>
      </c>
      <c r="C118" s="118">
        <v>0</v>
      </c>
      <c r="D118" s="67">
        <v>0</v>
      </c>
      <c r="E118" s="125">
        <f t="shared" si="16"/>
        <v>0</v>
      </c>
      <c r="G118" s="118">
        <f t="shared" si="17"/>
        <v>0</v>
      </c>
      <c r="H118" s="67">
        <f t="shared" si="18"/>
        <v>0</v>
      </c>
      <c r="I118" s="125">
        <f t="shared" si="19"/>
        <v>0</v>
      </c>
      <c r="J118" s="159">
        <v>0</v>
      </c>
    </row>
    <row r="119" spans="2:10" ht="409.5">
      <c r="B119" s="35" t="s">
        <v>41</v>
      </c>
      <c r="C119" s="118">
        <v>0</v>
      </c>
      <c r="D119" s="44">
        <f>D84</f>
        <v>0</v>
      </c>
      <c r="E119" s="118">
        <f>E86</f>
        <v>0</v>
      </c>
      <c r="G119" s="118">
        <f t="shared" si="17"/>
        <v>0</v>
      </c>
      <c r="H119" s="44">
        <f>H84</f>
        <v>0</v>
      </c>
      <c r="I119" s="118">
        <f>I86</f>
        <v>0</v>
      </c>
      <c r="J119" s="159">
        <v>0</v>
      </c>
    </row>
    <row r="120" spans="2:10" ht="409.5">
      <c r="B120" s="30" t="s">
        <v>569</v>
      </c>
      <c r="C120" s="120">
        <f>SUM(C111:C119)</f>
        <v>-222117</v>
      </c>
      <c r="D120" s="40">
        <f>SUM(D111:D119)</f>
        <v>0</v>
      </c>
      <c r="E120" s="120">
        <f>SUM(E111:E119)</f>
        <v>-222117</v>
      </c>
      <c r="G120" s="120">
        <f>SUM(G111:G119)</f>
        <v>-97901</v>
      </c>
      <c r="H120" s="40">
        <f>SUM(H111:H119)</f>
        <v>0</v>
      </c>
      <c r="I120" s="120">
        <f>SUM(I111:I119)</f>
        <v>-97901</v>
      </c>
      <c r="J120" s="160">
        <f>SUM(J111:J119)</f>
        <v>124216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-3644418</v>
      </c>
      <c r="D122" s="128">
        <f>D109+D120</f>
        <v>0</v>
      </c>
      <c r="E122" s="127">
        <f>E109+E120</f>
        <v>-3644418</v>
      </c>
      <c r="G122" s="127">
        <f>G109+G120</f>
        <v>-2911869</v>
      </c>
      <c r="H122" s="128">
        <f>H109+H120</f>
        <v>0</v>
      </c>
      <c r="I122" s="127">
        <f>I109+I120</f>
        <v>-2911869</v>
      </c>
      <c r="J122" s="161">
        <f>J109+J120</f>
        <v>732549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409.5">
      <c r="B130" s="66"/>
      <c r="C130" s="28" t="s">
        <v>965</v>
      </c>
      <c r="D130" s="29" t="s">
        <v>965</v>
      </c>
      <c r="E130" s="28" t="s">
        <v>965</v>
      </c>
      <c r="G130" s="28" t="s">
        <v>965</v>
      </c>
      <c r="H130" s="29" t="s">
        <v>965</v>
      </c>
      <c r="I130" s="28" t="s">
        <v>965</v>
      </c>
      <c r="J130" s="157" t="s">
        <v>965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1487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v>-1300000</v>
      </c>
      <c r="D133" s="67">
        <f>D45</f>
        <v>0</v>
      </c>
      <c r="E133" s="125">
        <f>C133+D133</f>
        <v>-1300000</v>
      </c>
      <c r="G133" s="118">
        <f>C133+J133</f>
        <v>-1300000</v>
      </c>
      <c r="H133" s="67">
        <f>H45</f>
        <v>0</v>
      </c>
      <c r="I133" s="125">
        <f>G133+H133</f>
        <v>-1300000</v>
      </c>
      <c r="J133" s="159">
        <f>-1300000-C133</f>
        <v>0</v>
      </c>
    </row>
    <row r="134" spans="2:10" ht="409.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C134+J134</f>
        <v>0</v>
      </c>
      <c r="H134" s="67">
        <f>D134</f>
        <v>0</v>
      </c>
      <c r="I134" s="125">
        <f>G134+H134</f>
        <v>0</v>
      </c>
      <c r="J134" s="159">
        <v>0</v>
      </c>
    </row>
    <row r="135" spans="2:10" ht="409.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-1300000</v>
      </c>
      <c r="D136" s="40">
        <f>SUM(D133:D135)</f>
        <v>0</v>
      </c>
      <c r="E136" s="120">
        <f>SUM(E133:E135)</f>
        <v>-1300000</v>
      </c>
      <c r="G136" s="120">
        <f>SUM(G133:G135)</f>
        <v>-1300000</v>
      </c>
      <c r="H136" s="40">
        <f>SUM(H133:H135)</f>
        <v>0</v>
      </c>
      <c r="I136" s="120">
        <f>SUM(I133:I135)</f>
        <v>-1300000</v>
      </c>
      <c r="J136" s="160">
        <f>SUM(J133:J135)</f>
        <v>0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v>0</v>
      </c>
      <c r="D138" s="67">
        <f>D50</f>
        <v>0</v>
      </c>
      <c r="E138" s="125">
        <f>C138+D138</f>
        <v>0</v>
      </c>
      <c r="G138" s="118">
        <f>C138+J138</f>
        <v>0</v>
      </c>
      <c r="H138" s="67">
        <f>H50</f>
        <v>0</v>
      </c>
      <c r="I138" s="125">
        <f>G138+H138</f>
        <v>0</v>
      </c>
      <c r="J138" s="159">
        <v>0</v>
      </c>
    </row>
    <row r="139" spans="2:10" ht="409.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0</v>
      </c>
      <c r="H140" s="40">
        <f>SUM(H138:H139)</f>
        <v>0</v>
      </c>
      <c r="I140" s="120">
        <f>SUM(I138:I139)</f>
        <v>0</v>
      </c>
      <c r="J140" s="160">
        <f>SUM(J138:J139)</f>
        <v>0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C142+J142</f>
        <v>0</v>
      </c>
      <c r="H142" s="1">
        <f>D142</f>
        <v>0</v>
      </c>
      <c r="I142" s="125">
        <f>G142+H142</f>
        <v>0</v>
      </c>
      <c r="J142" s="159">
        <v>0</v>
      </c>
    </row>
    <row r="143" spans="2:10" ht="409.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v>-2122301</v>
      </c>
      <c r="D144" s="1">
        <v>0</v>
      </c>
      <c r="E144" s="125">
        <f>C144+D144</f>
        <v>-2122301</v>
      </c>
      <c r="G144" s="118">
        <f>C144+J144</f>
        <v>-1513968</v>
      </c>
      <c r="H144" s="1">
        <f>D144</f>
        <v>0</v>
      </c>
      <c r="I144" s="125">
        <f>G144+H144</f>
        <v>-1513968</v>
      </c>
      <c r="J144" s="159">
        <f>-1513968-C144</f>
        <v>608333</v>
      </c>
    </row>
    <row r="145" spans="2:10" ht="409.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-2122301</v>
      </c>
      <c r="D146" s="40">
        <f>SUM(D142:D145)</f>
        <v>0</v>
      </c>
      <c r="E146" s="120">
        <f>SUM(E142:E145)</f>
        <v>-2122301</v>
      </c>
      <c r="G146" s="120">
        <f>SUM(G142:G145)</f>
        <v>-1513968</v>
      </c>
      <c r="H146" s="40">
        <f>SUM(H142:H145)</f>
        <v>0</v>
      </c>
      <c r="I146" s="120">
        <f>SUM(I142:I145)</f>
        <v>-1513968</v>
      </c>
      <c r="J146" s="160">
        <f>SUM(J142:J145)</f>
        <v>608333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v>0</v>
      </c>
      <c r="D149" s="1">
        <v>0</v>
      </c>
      <c r="E149" s="125">
        <f aca="true" t="shared" si="20" ref="E149:E157">C149+D149</f>
        <v>0</v>
      </c>
      <c r="G149" s="118">
        <f aca="true" t="shared" si="21" ref="G149:G157">C149+J149</f>
        <v>0</v>
      </c>
      <c r="H149" s="1">
        <f aca="true" t="shared" si="22" ref="H149:H157">D149</f>
        <v>0</v>
      </c>
      <c r="I149" s="125">
        <f aca="true" t="shared" si="23" ref="I149:I157">G149+H149</f>
        <v>0</v>
      </c>
      <c r="J149" s="159">
        <v>0</v>
      </c>
    </row>
    <row r="150" spans="2:10" ht="409.5">
      <c r="B150" s="35" t="s">
        <v>590</v>
      </c>
      <c r="C150" s="118">
        <v>-97987</v>
      </c>
      <c r="D150" s="1">
        <v>0</v>
      </c>
      <c r="E150" s="125">
        <f t="shared" si="20"/>
        <v>-97987</v>
      </c>
      <c r="G150" s="118">
        <f t="shared" si="21"/>
        <v>-19113</v>
      </c>
      <c r="H150" s="1">
        <f t="shared" si="22"/>
        <v>0</v>
      </c>
      <c r="I150" s="125">
        <f t="shared" si="23"/>
        <v>-19113</v>
      </c>
      <c r="J150" s="159">
        <f>-19113-C150</f>
        <v>78874</v>
      </c>
    </row>
    <row r="151" spans="2:10" ht="409.5">
      <c r="B151" s="35" t="s">
        <v>594</v>
      </c>
      <c r="C151" s="118">
        <v>0</v>
      </c>
      <c r="D151" s="1">
        <v>0</v>
      </c>
      <c r="E151" s="125">
        <f t="shared" si="20"/>
        <v>0</v>
      </c>
      <c r="G151" s="118">
        <f t="shared" si="21"/>
        <v>0</v>
      </c>
      <c r="H151" s="1">
        <f t="shared" si="22"/>
        <v>0</v>
      </c>
      <c r="I151" s="125">
        <f t="shared" si="23"/>
        <v>0</v>
      </c>
      <c r="J151" s="159">
        <v>0</v>
      </c>
    </row>
    <row r="152" spans="2:10" ht="409.5">
      <c r="B152" s="69" t="s">
        <v>595</v>
      </c>
      <c r="C152" s="118">
        <v>0</v>
      </c>
      <c r="D152" s="1">
        <v>0</v>
      </c>
      <c r="E152" s="125">
        <f t="shared" si="20"/>
        <v>0</v>
      </c>
      <c r="G152" s="118">
        <f t="shared" si="21"/>
        <v>0</v>
      </c>
      <c r="H152" s="1">
        <f t="shared" si="22"/>
        <v>0</v>
      </c>
      <c r="I152" s="125">
        <f t="shared" si="23"/>
        <v>0</v>
      </c>
      <c r="J152" s="159">
        <v>0</v>
      </c>
    </row>
    <row r="153" spans="2:10" ht="409.5">
      <c r="B153" s="35" t="s">
        <v>596</v>
      </c>
      <c r="C153" s="118">
        <v>0</v>
      </c>
      <c r="D153" s="1">
        <v>0</v>
      </c>
      <c r="E153" s="125">
        <f t="shared" si="20"/>
        <v>0</v>
      </c>
      <c r="G153" s="118">
        <f t="shared" si="21"/>
        <v>0</v>
      </c>
      <c r="H153" s="1">
        <f t="shared" si="22"/>
        <v>0</v>
      </c>
      <c r="I153" s="125">
        <f t="shared" si="23"/>
        <v>0</v>
      </c>
      <c r="J153" s="159">
        <v>0</v>
      </c>
    </row>
    <row r="154" spans="2:10" ht="409.5">
      <c r="B154" s="35" t="s">
        <v>597</v>
      </c>
      <c r="C154" s="118">
        <v>-124130</v>
      </c>
      <c r="D154" s="1">
        <v>0</v>
      </c>
      <c r="E154" s="125">
        <f t="shared" si="20"/>
        <v>-124130</v>
      </c>
      <c r="G154" s="118">
        <f t="shared" si="21"/>
        <v>-78788</v>
      </c>
      <c r="H154" s="1">
        <f t="shared" si="22"/>
        <v>0</v>
      </c>
      <c r="I154" s="125">
        <f t="shared" si="23"/>
        <v>-78788</v>
      </c>
      <c r="J154" s="159">
        <f>-78788-C154</f>
        <v>45342</v>
      </c>
    </row>
    <row r="155" spans="2:10" ht="409.5">
      <c r="B155" s="35" t="s">
        <v>598</v>
      </c>
      <c r="C155" s="118">
        <v>0</v>
      </c>
      <c r="D155" s="1">
        <v>0</v>
      </c>
      <c r="E155" s="125">
        <f t="shared" si="20"/>
        <v>0</v>
      </c>
      <c r="G155" s="118">
        <f t="shared" si="21"/>
        <v>0</v>
      </c>
      <c r="H155" s="1">
        <f t="shared" si="22"/>
        <v>0</v>
      </c>
      <c r="I155" s="125">
        <f t="shared" si="23"/>
        <v>0</v>
      </c>
      <c r="J155" s="159">
        <v>0</v>
      </c>
    </row>
    <row r="156" spans="2:10" ht="409.5">
      <c r="B156" s="35" t="s">
        <v>599</v>
      </c>
      <c r="C156" s="118">
        <v>0</v>
      </c>
      <c r="D156" s="1">
        <v>0</v>
      </c>
      <c r="E156" s="125">
        <f t="shared" si="20"/>
        <v>0</v>
      </c>
      <c r="G156" s="118">
        <f t="shared" si="21"/>
        <v>0</v>
      </c>
      <c r="H156" s="1">
        <f t="shared" si="22"/>
        <v>0</v>
      </c>
      <c r="I156" s="125">
        <f t="shared" si="23"/>
        <v>0</v>
      </c>
      <c r="J156" s="159">
        <v>0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20"/>
        <v>0</v>
      </c>
      <c r="G157" s="118">
        <f t="shared" si="21"/>
        <v>0</v>
      </c>
      <c r="H157" s="1">
        <f t="shared" si="22"/>
        <v>0</v>
      </c>
      <c r="I157" s="125">
        <f t="shared" si="23"/>
        <v>0</v>
      </c>
      <c r="J157" s="159">
        <v>0</v>
      </c>
    </row>
    <row r="158" spans="2:10" ht="409.5">
      <c r="B158" s="30" t="s">
        <v>592</v>
      </c>
      <c r="C158" s="120">
        <f>SUM(C148:C157)</f>
        <v>-222117</v>
      </c>
      <c r="D158" s="40">
        <f>SUM(D148:D157)</f>
        <v>0</v>
      </c>
      <c r="E158" s="120">
        <f>SUM(E148:E157)</f>
        <v>-222117</v>
      </c>
      <c r="G158" s="120">
        <f>SUM(G148:G157)</f>
        <v>-97901</v>
      </c>
      <c r="H158" s="40">
        <f>SUM(H148:H157)</f>
        <v>0</v>
      </c>
      <c r="I158" s="120">
        <f>SUM(I148:I157)</f>
        <v>-97901</v>
      </c>
      <c r="J158" s="160">
        <f>SUM(J148:J157)</f>
        <v>124216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-2344418</v>
      </c>
      <c r="D160" s="40">
        <f>D140+D146+D158</f>
        <v>0</v>
      </c>
      <c r="E160" s="120">
        <f>E140+E146+E158</f>
        <v>-2344418</v>
      </c>
      <c r="G160" s="120">
        <f>G140+G146+G158</f>
        <v>-1611869</v>
      </c>
      <c r="H160" s="40">
        <f>H140+H146+H158</f>
        <v>0</v>
      </c>
      <c r="I160" s="120">
        <f>I140+I146+I158</f>
        <v>-1611869</v>
      </c>
      <c r="J160" s="160">
        <f>J140+J146+J158</f>
        <v>732549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-3644418</v>
      </c>
      <c r="D162" s="127">
        <f>D136+D160</f>
        <v>0</v>
      </c>
      <c r="E162" s="127">
        <f>E136+E160</f>
        <v>-3644418</v>
      </c>
      <c r="G162" s="127">
        <f>G136+G160</f>
        <v>-2911869</v>
      </c>
      <c r="H162" s="128">
        <f>H136+H160</f>
        <v>0</v>
      </c>
      <c r="I162" s="127">
        <f>I136+I160</f>
        <v>-2911869</v>
      </c>
      <c r="J162" s="161">
        <f>J136+J160</f>
        <v>732549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164">
        <f>C122-C162</f>
        <v>0</v>
      </c>
      <c r="D165" s="3">
        <f>D122-D162</f>
        <v>0</v>
      </c>
      <c r="E165" s="3">
        <f>E122-E162</f>
        <v>0</v>
      </c>
      <c r="G165" s="3">
        <f>G122-G162</f>
        <v>0</v>
      </c>
      <c r="H165" s="67">
        <f>H122-H162</f>
        <v>0</v>
      </c>
      <c r="I165" s="3">
        <f>I122-I162</f>
        <v>0</v>
      </c>
      <c r="J165" s="3">
        <f>J122-J162</f>
        <v>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73">
      <selection activeCell="D132" sqref="D132"/>
    </sheetView>
  </sheetViews>
  <sheetFormatPr defaultColWidth="9.140625" defaultRowHeight="12.75" outlineLevelRow="1" outlineLevelCol="2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2"/>
    <col min="8" max="8" width="8.8515625" style="0" hidden="1" customWidth="1" outlineLevel="2"/>
    <col min="9" max="9" width="14.28125" style="0" hidden="1" customWidth="1" outlineLevel="2"/>
    <col min="10" max="10" width="9.7109375" style="0" hidden="1" customWidth="1" outlineLevel="2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14</v>
      </c>
      <c r="D5" s="29" t="s">
        <v>14</v>
      </c>
      <c r="E5" s="28" t="s">
        <v>14</v>
      </c>
      <c r="G5" s="28" t="s">
        <v>14</v>
      </c>
      <c r="H5" s="29" t="s">
        <v>14</v>
      </c>
      <c r="I5" s="28" t="s">
        <v>14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f>'rekst - sjóðstr - efnah - aðals'!C8+'rekst - sjóðstr - efnah - eigna'!C8+'rekst - sjóðstr - efnah - faste'!C8+'rekst - sjóðstr - efnah - Byggð'!C8+'rekst - sjóðstr - efnah - milli'!C8</f>
        <v>4067408</v>
      </c>
      <c r="D8" s="67">
        <f>'rekst - sjóðstr - efnah - aðals'!D8+'rekst - sjóðstr - efnah - eigna'!D8+'rekst - sjóðstr - efnah - faste'!D8+'rekst - sjóðstr - efnah - Byggð'!D8+'rekst - sjóðstr - efnah - milli'!D8</f>
        <v>0</v>
      </c>
      <c r="E8" s="119">
        <f>C8+D8</f>
        <v>4067408</v>
      </c>
      <c r="G8" s="118">
        <f aca="true" t="shared" si="0" ref="G8:H10">C8</f>
        <v>4067408</v>
      </c>
      <c r="H8" s="67">
        <f t="shared" si="0"/>
        <v>0</v>
      </c>
      <c r="I8" s="119">
        <f>G8+H8</f>
        <v>4067408</v>
      </c>
    </row>
    <row r="9" spans="2:9" ht="12.75">
      <c r="B9" s="35" t="s">
        <v>503</v>
      </c>
      <c r="C9" s="118">
        <f>'rekst - sjóðstr - efnah - aðals'!C9+'rekst - sjóðstr - efnah - eigna'!C9+'rekst - sjóðstr - efnah - faste'!C9+'rekst - sjóðstr - efnah - Byggð'!C9+'rekst - sjóðstr - efnah - milli'!C9</f>
        <v>1011844</v>
      </c>
      <c r="D9" s="67">
        <f>'rekst - sjóðstr - efnah - aðals'!D9+'rekst - sjóðstr - efnah - eigna'!D9+'rekst - sjóðstr - efnah - faste'!D9+'rekst - sjóðstr - efnah - Byggð'!D9+'rekst - sjóðstr - efnah - milli'!D9</f>
        <v>0</v>
      </c>
      <c r="E9" s="119">
        <f>C9+D9</f>
        <v>1011844</v>
      </c>
      <c r="G9" s="118">
        <f t="shared" si="0"/>
        <v>1011844</v>
      </c>
      <c r="H9" s="67">
        <f t="shared" si="0"/>
        <v>0</v>
      </c>
      <c r="I9" s="119">
        <f>G9+H9</f>
        <v>1011844</v>
      </c>
    </row>
    <row r="10" spans="2:9" ht="12.75">
      <c r="B10" s="35" t="s">
        <v>504</v>
      </c>
      <c r="C10" s="118">
        <f>'rekst - sjóðstr - efnah - aðals'!C10+'rekst - sjóðstr - efnah - eigna'!C10+'rekst - sjóðstr - efnah - faste'!C10+'rekst - sjóðstr - efnah - Byggð'!C10+'rekst - sjóðstr - efnah - milli'!C10</f>
        <v>561825</v>
      </c>
      <c r="D10" s="67">
        <f>'rekst - sjóðstr - efnah - aðals'!D10+'rekst - sjóðstr - efnah - eigna'!D10+'rekst - sjóðstr - efnah - faste'!D10+'rekst - sjóðstr - efnah - Byggð'!D10+'rekst - sjóðstr - efnah - milli'!D10</f>
        <v>90740.316</v>
      </c>
      <c r="E10" s="119">
        <f>C10+D10</f>
        <v>652565.316</v>
      </c>
      <c r="G10" s="118">
        <f t="shared" si="0"/>
        <v>561825</v>
      </c>
      <c r="H10" s="67">
        <f t="shared" si="0"/>
        <v>90740.316</v>
      </c>
      <c r="I10" s="119">
        <f>G10+H10</f>
        <v>652565.316</v>
      </c>
    </row>
    <row r="11" spans="2:9" ht="12.75">
      <c r="B11" s="38"/>
      <c r="C11" s="120">
        <f>SUM(C8:C10)</f>
        <v>5641077</v>
      </c>
      <c r="D11" s="40">
        <f>SUM(D8:D10)</f>
        <v>90740.316</v>
      </c>
      <c r="E11" s="120">
        <f>SUM(E8:E10)</f>
        <v>5731817.316</v>
      </c>
      <c r="G11" s="120">
        <f>SUM(G8:G10)</f>
        <v>5641077</v>
      </c>
      <c r="H11" s="40">
        <f>SUM(H8:H10)</f>
        <v>90740.316</v>
      </c>
      <c r="I11" s="120">
        <f>SUM(I8:I10)</f>
        <v>5731817.316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f>'rekst - sjóðstr - efnah - aðals'!C14+'rekst - sjóðstr - efnah - eigna'!C14+'rekst - sjóðstr - efnah - faste'!C14+'rekst - sjóðstr - efnah - Byggð'!C14+'rekst - sjóðstr - efnah - milli'!C14</f>
        <v>3464901</v>
      </c>
      <c r="D14" s="67">
        <f>'rekst - sjóðstr - efnah - aðals'!D14+'rekst - sjóðstr - efnah - eigna'!D14+'rekst - sjóðstr - efnah - faste'!D14+'rekst - sjóðstr - efnah - Byggð'!D14+'rekst - sjóðstr - efnah - milli'!D14</f>
        <v>23170</v>
      </c>
      <c r="E14" s="119">
        <f>C14+D14</f>
        <v>3488071</v>
      </c>
      <c r="G14" s="118">
        <f aca="true" t="shared" si="1" ref="G14:H16">C14</f>
        <v>3464901</v>
      </c>
      <c r="H14" s="67">
        <f t="shared" si="1"/>
        <v>23170</v>
      </c>
      <c r="I14" s="119">
        <f>G14+H14</f>
        <v>3488071</v>
      </c>
    </row>
    <row r="15" spans="2:9" ht="12.75">
      <c r="B15" s="35" t="s">
        <v>507</v>
      </c>
      <c r="C15" s="118">
        <f>'rekst - sjóðstr - efnah - aðals'!C15+'rekst - sjóðstr - efnah - eigna'!C15+'rekst - sjóðstr - efnah - faste'!C15+'rekst - sjóðstr - efnah - Byggð'!C15+'rekst - sjóðstr - efnah - milli'!C15</f>
        <v>1558032</v>
      </c>
      <c r="D15" s="67">
        <f>'rekst - sjóðstr - efnah - aðals'!D15+'rekst - sjóðstr - efnah - eigna'!D15+'rekst - sjóðstr - efnah - faste'!D15+'rekst - sjóðstr - efnah - Byggð'!D15+'rekst - sjóðstr - efnah - milli'!D15</f>
        <v>71564.316</v>
      </c>
      <c r="E15" s="119">
        <f>C15+D15</f>
        <v>1629596.316</v>
      </c>
      <c r="G15" s="118">
        <f t="shared" si="1"/>
        <v>1558032</v>
      </c>
      <c r="H15" s="67">
        <f t="shared" si="1"/>
        <v>71564.316</v>
      </c>
      <c r="I15" s="119">
        <f>G15+H15</f>
        <v>1629596.316</v>
      </c>
    </row>
    <row r="16" spans="2:9" ht="12.75">
      <c r="B16" s="35" t="s">
        <v>508</v>
      </c>
      <c r="C16" s="118">
        <f>'rekst - sjóðstr - efnah - aðals'!C16+'rekst - sjóðstr - efnah - eigna'!C16+'rekst - sjóðstr - efnah - faste'!C16+'rekst - sjóðstr - efnah - Byggð'!C16+'rekst - sjóðstr - efnah - milli'!C16</f>
        <v>307093</v>
      </c>
      <c r="D16" s="67">
        <f>'rekst - sjóðstr - efnah - aðals'!D16+'rekst - sjóðstr - efnah - eigna'!D16+'rekst - sjóðstr - efnah - faste'!D16+'rekst - sjóðstr - efnah - Byggð'!D16+'rekst - sjóðstr - efnah - milli'!D16</f>
        <v>0</v>
      </c>
      <c r="E16" s="119">
        <f>C16+D16</f>
        <v>307093</v>
      </c>
      <c r="G16" s="118">
        <f t="shared" si="1"/>
        <v>307093</v>
      </c>
      <c r="H16" s="67">
        <f t="shared" si="1"/>
        <v>0</v>
      </c>
      <c r="I16" s="119">
        <f>G16+H16</f>
        <v>307093</v>
      </c>
    </row>
    <row r="17" spans="2:9" ht="12.75">
      <c r="B17" s="38"/>
      <c r="C17" s="120">
        <f>SUM(C14:C16)</f>
        <v>5330026</v>
      </c>
      <c r="D17" s="40">
        <f>SUM(D14:D16)</f>
        <v>94734.316</v>
      </c>
      <c r="E17" s="120">
        <f>SUM(E14:E16)</f>
        <v>5424760.316</v>
      </c>
      <c r="G17" s="120">
        <f>SUM(G14:G16)</f>
        <v>5330026</v>
      </c>
      <c r="H17" s="40">
        <f>SUM(H14:H16)</f>
        <v>94734.316</v>
      </c>
      <c r="I17" s="120">
        <f>SUM(I14:I16)</f>
        <v>5424760.316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>
        <f>(C11-C17)/C11</f>
        <v>0.05514035706302183</v>
      </c>
      <c r="D19" s="71" t="s">
        <v>1</v>
      </c>
      <c r="E19" s="68">
        <f>(E11-E17)/E11</f>
        <v>0.053570618718581646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f>'rekst - sjóðstr - efnah - aðals'!C20+'rekst - sjóðstr - efnah - eigna'!C20+'rekst - sjóðstr - efnah - faste'!C20+'rekst - sjóðstr - efnah - Byggð'!C20+'rekst - sjóðstr - efnah - milli'!C20</f>
        <v>161485</v>
      </c>
      <c r="D20" s="67">
        <f>'rekst - sjóðstr - efnah - aðals'!D20+'rekst - sjóðstr - efnah - eigna'!D20+'rekst - sjóðstr - efnah - faste'!D20+'rekst - sjóðstr - efnah - Byggð'!D20+'rekst - sjóðstr - efnah - milli'!D20</f>
        <v>13409.052</v>
      </c>
      <c r="E20" s="119">
        <f>C20+D20</f>
        <v>174894.052</v>
      </c>
      <c r="G20" s="118">
        <f>C20</f>
        <v>161485</v>
      </c>
      <c r="H20" s="67">
        <f>D20</f>
        <v>13409.052</v>
      </c>
      <c r="I20" s="119">
        <f>G20+H20</f>
        <v>174894.052</v>
      </c>
    </row>
    <row r="21" spans="2:9" ht="12.75">
      <c r="B21" s="35" t="s">
        <v>511</v>
      </c>
      <c r="C21" s="120">
        <f>C11-C17-C20</f>
        <v>149566</v>
      </c>
      <c r="D21" s="40">
        <f>D11-D17-D20</f>
        <v>-17403.052</v>
      </c>
      <c r="E21" s="120">
        <f>E11-E17-E20</f>
        <v>132162.948</v>
      </c>
      <c r="G21" s="120">
        <f>G11-G17-G20</f>
        <v>149566</v>
      </c>
      <c r="H21" s="40">
        <f>H11-H17-H20</f>
        <v>-17403.052</v>
      </c>
      <c r="I21" s="120">
        <f>I11-I17-I20</f>
        <v>132162.948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f>'rekst - sjóðstr - efnah - aðals'!C24+'rekst - sjóðstr - efnah - eigna'!C24+'rekst - sjóðstr - efnah - faste'!C24+'rekst - sjóðstr - efnah - Byggð'!C24+'rekst - sjóðstr - efnah - milli'!C24</f>
        <v>29832</v>
      </c>
      <c r="D24" s="40">
        <f>'rekst - sjóðstr - efnah - aðals'!D24+'rekst - sjóðstr - efnah - eigna'!D24+'rekst - sjóðstr - efnah - faste'!D24+'rekst - sjóðstr - efnah - Byggð'!D24+'rekst - sjóðstr - efnah - milli'!D24</f>
        <v>33730.051999999996</v>
      </c>
      <c r="E24" s="120">
        <f>C24+D24</f>
        <v>63562.051999999996</v>
      </c>
      <c r="G24" s="120">
        <f>C24</f>
        <v>29832</v>
      </c>
      <c r="H24" s="40">
        <f>D24</f>
        <v>33730.051999999996</v>
      </c>
      <c r="I24" s="120">
        <f>G24+H24</f>
        <v>63562.051999999996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179398</v>
      </c>
      <c r="D26" s="44">
        <f>D21+D24</f>
        <v>16326.999999999996</v>
      </c>
      <c r="E26" s="118">
        <f>E21+E24</f>
        <v>195725</v>
      </c>
      <c r="G26" s="118">
        <f>G21+G24</f>
        <v>179398</v>
      </c>
      <c r="H26" s="44">
        <f>H21+H24</f>
        <v>16326.999999999996</v>
      </c>
      <c r="I26" s="118">
        <f>I21+I24</f>
        <v>195725</v>
      </c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f>C27</f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18">
        <f>C28</f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179398</v>
      </c>
      <c r="D30" s="44">
        <f>D26+D29</f>
        <v>16326.999999999996</v>
      </c>
      <c r="E30" s="118">
        <f>E26+E29</f>
        <v>195725</v>
      </c>
      <c r="G30" s="118">
        <f>G21+G24+G29</f>
        <v>179398</v>
      </c>
      <c r="H30" s="44">
        <f>H21+H24+H29</f>
        <v>16326.999999999996</v>
      </c>
      <c r="I30" s="118">
        <f>I21+I24+I29</f>
        <v>195725</v>
      </c>
    </row>
    <row r="31" spans="2:9" ht="12.75">
      <c r="B31" s="35" t="s">
        <v>517</v>
      </c>
      <c r="C31" s="121">
        <v>0</v>
      </c>
      <c r="D31" s="48">
        <f>'rekst - sjóðstr - efnah - aðals'!D31+'rekst - sjóðstr - efnah - eigna'!D31+'rekst - sjóðstr - efnah - faste'!D31+'rekst - sjóðstr - efnah - Byggð'!D31</f>
        <v>-16327</v>
      </c>
      <c r="E31" s="121">
        <f>C31+D31</f>
        <v>-16327</v>
      </c>
      <c r="G31" s="121">
        <f>C31</f>
        <v>0</v>
      </c>
      <c r="H31" s="48">
        <f>D31</f>
        <v>-16327</v>
      </c>
      <c r="I31" s="121">
        <f>G31+H31</f>
        <v>-16327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179398</v>
      </c>
      <c r="D33" s="124">
        <f>SUM(D30:D32)</f>
        <v>0</v>
      </c>
      <c r="E33" s="123">
        <f>SUM(E30:E32)</f>
        <v>179398</v>
      </c>
      <c r="G33" s="123">
        <f>SUM(G30:G32)</f>
        <v>179398</v>
      </c>
      <c r="H33" s="124">
        <f>SUM(H30:H32)</f>
        <v>0</v>
      </c>
      <c r="I33" s="123">
        <f>SUM(I30:I32)</f>
        <v>179398</v>
      </c>
    </row>
    <row r="34" spans="2:8" ht="13.5" thickTop="1">
      <c r="B34" s="53"/>
      <c r="C34" s="165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10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  <c r="J40" s="155" t="s">
        <v>493</v>
      </c>
    </row>
    <row r="41" spans="3:10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  <c r="J41" s="156" t="s">
        <v>496</v>
      </c>
    </row>
    <row r="42" spans="2:10" ht="20.25" customHeight="1">
      <c r="B42" s="27" t="s">
        <v>519</v>
      </c>
      <c r="C42" s="28" t="s">
        <v>14</v>
      </c>
      <c r="D42" s="29" t="s">
        <v>14</v>
      </c>
      <c r="E42" s="28" t="s">
        <v>14</v>
      </c>
      <c r="G42" s="28" t="s">
        <v>14</v>
      </c>
      <c r="H42" s="29" t="s">
        <v>14</v>
      </c>
      <c r="I42" s="28" t="s">
        <v>14</v>
      </c>
      <c r="J42" s="157" t="s">
        <v>14</v>
      </c>
    </row>
    <row r="43" spans="2:10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1486</v>
      </c>
      <c r="I43" s="116" t="s">
        <v>501</v>
      </c>
      <c r="J43" s="158" t="s">
        <v>1488</v>
      </c>
    </row>
    <row r="44" spans="2:10" ht="12.75">
      <c r="B44" s="33" t="s">
        <v>521</v>
      </c>
      <c r="C44" s="55"/>
      <c r="E44" s="114"/>
      <c r="G44" s="55"/>
      <c r="H44" s="1"/>
      <c r="I44" s="114"/>
      <c r="J44" s="162"/>
    </row>
    <row r="45" spans="2:10" ht="12.75">
      <c r="B45" s="35" t="s">
        <v>522</v>
      </c>
      <c r="C45" s="118">
        <f>C33</f>
        <v>179398</v>
      </c>
      <c r="D45" s="44">
        <f>D33</f>
        <v>0</v>
      </c>
      <c r="E45" s="118">
        <f>E33</f>
        <v>179398</v>
      </c>
      <c r="G45" s="118">
        <f>G33</f>
        <v>179398</v>
      </c>
      <c r="H45" s="44">
        <f>H33</f>
        <v>0</v>
      </c>
      <c r="I45" s="118">
        <f>I33</f>
        <v>179398</v>
      </c>
      <c r="J45" s="162"/>
    </row>
    <row r="46" spans="2:10" ht="12.75">
      <c r="B46" s="35" t="s">
        <v>523</v>
      </c>
      <c r="C46" s="118">
        <f>C20</f>
        <v>161485</v>
      </c>
      <c r="D46" s="44">
        <f>D20</f>
        <v>13409.052</v>
      </c>
      <c r="E46" s="118">
        <f>E20</f>
        <v>174894.052</v>
      </c>
      <c r="G46" s="118">
        <f>G20</f>
        <v>161485</v>
      </c>
      <c r="H46" s="44">
        <f>H20</f>
        <v>13409.052</v>
      </c>
      <c r="I46" s="118">
        <f>I20</f>
        <v>174894.052</v>
      </c>
      <c r="J46" s="162"/>
    </row>
    <row r="47" spans="2:10" ht="12.75">
      <c r="B47" s="35" t="s">
        <v>524</v>
      </c>
      <c r="C47" s="118">
        <f>'rekst - sjóðstr - efnah - aðals'!C47+'rekst - sjóðstr - efnah - eigna'!C47+'rekst - sjóðstr - efnah - faste'!C47+'rekst - sjóðstr - efnah - Byggð'!C47+'rekst - sjóðstr - efnah - milli'!C47</f>
        <v>18288</v>
      </c>
      <c r="D47" s="67">
        <f>'rekst - sjóðstr - efnah - aðals'!D47+'rekst - sjóðstr - efnah - eigna'!D47+'rekst - sjóðstr - efnah - faste'!D47+'rekst - sjóðstr - efnah - Byggð'!D47+'rekst - sjóðstr - efnah - milli'!D47</f>
        <v>0</v>
      </c>
      <c r="E47" s="125">
        <f>C47+D47</f>
        <v>18288</v>
      </c>
      <c r="G47" s="118">
        <f aca="true" t="shared" si="2" ref="G47:H51">C47</f>
        <v>18288</v>
      </c>
      <c r="H47" s="67">
        <f t="shared" si="2"/>
        <v>0</v>
      </c>
      <c r="I47" s="125">
        <f>G47+H47</f>
        <v>18288</v>
      </c>
      <c r="J47" s="162"/>
    </row>
    <row r="48" spans="2:10" ht="12.75">
      <c r="B48" s="35" t="s">
        <v>525</v>
      </c>
      <c r="C48" s="118">
        <v>0</v>
      </c>
      <c r="D48" s="1">
        <f>'rekst - sjóðstr - efnah - aðals'!D48+'rekst - sjóðstr - efnah - eigna'!D48+'rekst - sjóðstr - efnah - faste'!D48+'rekst - sjóðstr - efnah - Byggð'!D48+'rekst - sjóðstr - efnah - milli'!D48</f>
        <v>0</v>
      </c>
      <c r="E48" s="125">
        <f>C48+D48</f>
        <v>0</v>
      </c>
      <c r="G48" s="118">
        <f t="shared" si="2"/>
        <v>0</v>
      </c>
      <c r="H48" s="67">
        <f t="shared" si="2"/>
        <v>0</v>
      </c>
      <c r="I48" s="125">
        <f>G48+H48</f>
        <v>0</v>
      </c>
      <c r="J48" s="162"/>
    </row>
    <row r="49" spans="2:10" ht="12.75">
      <c r="B49" s="35" t="s">
        <v>526</v>
      </c>
      <c r="C49" s="118">
        <v>0</v>
      </c>
      <c r="D49" s="1">
        <f>'rekst - sjóðstr - efnah - aðals'!D49+'rekst - sjóðstr - efnah - eigna'!D49+'rekst - sjóðstr - efnah - faste'!D49+'rekst - sjóðstr - efnah - Byggð'!D49+'rekst - sjóðstr - efnah - milli'!D49</f>
        <v>0</v>
      </c>
      <c r="E49" s="125">
        <f>C49+D49</f>
        <v>0</v>
      </c>
      <c r="G49" s="118">
        <f t="shared" si="2"/>
        <v>0</v>
      </c>
      <c r="H49" s="67">
        <f t="shared" si="2"/>
        <v>0</v>
      </c>
      <c r="I49" s="125">
        <f>G49+H49</f>
        <v>0</v>
      </c>
      <c r="J49" s="162"/>
    </row>
    <row r="50" spans="2:10" ht="12.75">
      <c r="B50" s="35" t="s">
        <v>527</v>
      </c>
      <c r="C50" s="118">
        <f>'rekst - sjóðstr - efnah - aðals'!C50+'rekst - sjóðstr - efnah - eigna'!C50+'rekst - sjóðstr - efnah - faste'!C50+'rekst - sjóðstr - efnah - Byggð'!C50</f>
        <v>305294</v>
      </c>
      <c r="D50" s="67">
        <f>'rekst - sjóðstr - efnah - aðals'!D50+'rekst - sjóðstr - efnah - eigna'!D50+'rekst - sjóðstr - efnah - faste'!D50+'rekst - sjóðstr - efnah - Byggð'!D50+'rekst - sjóðstr - efnah - milli'!D50</f>
        <v>0</v>
      </c>
      <c r="E50" s="125">
        <f>C50+D50</f>
        <v>305294</v>
      </c>
      <c r="G50" s="118">
        <f t="shared" si="2"/>
        <v>305294</v>
      </c>
      <c r="H50" s="44">
        <f t="shared" si="2"/>
        <v>0</v>
      </c>
      <c r="I50" s="118">
        <f>G50+H50</f>
        <v>305294</v>
      </c>
      <c r="J50" s="162"/>
    </row>
    <row r="51" spans="2:10" ht="12.75">
      <c r="B51" s="35" t="s">
        <v>528</v>
      </c>
      <c r="C51" s="118">
        <v>0</v>
      </c>
      <c r="D51" s="1">
        <f>'rekst - sjóðstr - efnah - aðals'!D51+'rekst - sjóðstr - efnah - eigna'!D51+'rekst - sjóðstr - efnah - faste'!D51+'rekst - sjóðstr - efnah - Byggð'!D51+'rekst - sjóðstr - efnah - milli'!D51</f>
        <v>0</v>
      </c>
      <c r="E51" s="125">
        <f>C51+D51</f>
        <v>0</v>
      </c>
      <c r="G51" s="118">
        <f t="shared" si="2"/>
        <v>0</v>
      </c>
      <c r="H51" s="67">
        <f t="shared" si="2"/>
        <v>0</v>
      </c>
      <c r="I51" s="125">
        <f>G51+H51</f>
        <v>0</v>
      </c>
      <c r="J51" s="162"/>
    </row>
    <row r="52" spans="2:10" ht="12.75">
      <c r="B52" s="57" t="s">
        <v>529</v>
      </c>
      <c r="C52" s="120">
        <f>SUM(C45:C51)</f>
        <v>664465</v>
      </c>
      <c r="D52" s="40">
        <f>SUM(D45:D51)</f>
        <v>13409.052</v>
      </c>
      <c r="E52" s="120">
        <f>SUM(E45:E51)</f>
        <v>677874.052</v>
      </c>
      <c r="G52" s="120">
        <f>SUM(G45:G51)</f>
        <v>664465</v>
      </c>
      <c r="H52" s="40">
        <f>SUM(H45:H51)</f>
        <v>13409.052</v>
      </c>
      <c r="I52" s="120">
        <f>SUM(I45:I51)</f>
        <v>677874.052</v>
      </c>
      <c r="J52" s="162"/>
    </row>
    <row r="53" spans="2:10" ht="12.75">
      <c r="B53" s="58" t="s">
        <v>530</v>
      </c>
      <c r="C53" s="118"/>
      <c r="D53" s="1"/>
      <c r="E53" s="114"/>
      <c r="G53" s="118"/>
      <c r="H53" s="1"/>
      <c r="I53" s="114"/>
      <c r="J53" s="162"/>
    </row>
    <row r="54" spans="2:10" ht="12.75">
      <c r="B54" s="35" t="s">
        <v>531</v>
      </c>
      <c r="C54" s="118">
        <f>'rekst - sjóðstr - efnah - aðals'!C54+'rekst - sjóðstr - efnah - eigna'!C54+'rekst - sjóðstr - efnah - faste'!C54+'rekst - sjóðstr - efnah - Byggð'!C54+'rekst - sjóðstr - efnah - milli'!C54</f>
        <v>-29</v>
      </c>
      <c r="D54" s="1">
        <f>'rekst - sjóðstr - efnah - aðals'!D54+'rekst - sjóðstr - efnah - eigna'!D54+'rekst - sjóðstr - efnah - faste'!D54+'rekst - sjóðstr - efnah - Byggð'!D54+'rekst - sjóðstr - efnah - milli'!D54</f>
        <v>0</v>
      </c>
      <c r="E54" s="125">
        <f>C54+D54</f>
        <v>-29</v>
      </c>
      <c r="G54" s="118">
        <f aca="true" t="shared" si="3" ref="G54:H58">C54</f>
        <v>-29</v>
      </c>
      <c r="H54" s="1">
        <f t="shared" si="3"/>
        <v>0</v>
      </c>
      <c r="I54" s="125">
        <f>G54+H54</f>
        <v>-29</v>
      </c>
      <c r="J54" s="162"/>
    </row>
    <row r="55" spans="2:10" ht="12.75">
      <c r="B55" s="35" t="s">
        <v>532</v>
      </c>
      <c r="C55" s="118">
        <f>'rekst - sjóðstr - efnah - aðals'!C55+'rekst - sjóðstr - efnah - eigna'!C55+'rekst - sjóðstr - efnah - faste'!C55+'rekst - sjóðstr - efnah - Byggð'!C55+'rekst - sjóðstr - efnah - milli'!C55</f>
        <v>-18445</v>
      </c>
      <c r="D55" s="1">
        <f>'rekst - sjóðstr - efnah - aðals'!D55+'rekst - sjóðstr - efnah - eigna'!D55+'rekst - sjóðstr - efnah - faste'!D55+'rekst - sjóðstr - efnah - Byggð'!D55+'rekst - sjóðstr - efnah - milli'!D55</f>
        <v>0</v>
      </c>
      <c r="E55" s="125">
        <f>C55+D55</f>
        <v>-18445</v>
      </c>
      <c r="G55" s="118">
        <f t="shared" si="3"/>
        <v>-18445</v>
      </c>
      <c r="H55" s="1">
        <f t="shared" si="3"/>
        <v>0</v>
      </c>
      <c r="I55" s="125">
        <f>G55+H55</f>
        <v>-18445</v>
      </c>
      <c r="J55" s="162"/>
    </row>
    <row r="56" spans="2:10" ht="12.75">
      <c r="B56" s="35" t="s">
        <v>533</v>
      </c>
      <c r="C56" s="118">
        <f>'rekst - sjóðstr - efnah - aðals'!C56+'rekst - sjóðstr - efnah - eigna'!C56+'rekst - sjóðstr - efnah - faste'!C56+'rekst - sjóðstr - efnah - Byggð'!C56+'rekst - sjóðstr - efnah - milli'!C56</f>
        <v>-2310</v>
      </c>
      <c r="D56" s="1">
        <f>'rekst - sjóðstr - efnah - aðals'!D56+'rekst - sjóðstr - efnah - eigna'!D56+'rekst - sjóðstr - efnah - faste'!D56+'rekst - sjóðstr - efnah - Byggð'!D56+'rekst - sjóðstr - efnah - milli'!D56</f>
        <v>0</v>
      </c>
      <c r="E56" s="125">
        <f>C56+D56</f>
        <v>-2310</v>
      </c>
      <c r="G56" s="118">
        <f t="shared" si="3"/>
        <v>-2310</v>
      </c>
      <c r="H56" s="1">
        <f t="shared" si="3"/>
        <v>0</v>
      </c>
      <c r="I56" s="125">
        <f>G56+H56</f>
        <v>-2310</v>
      </c>
      <c r="J56" s="162"/>
    </row>
    <row r="57" spans="2:10" ht="12.75">
      <c r="B57" s="35" t="s">
        <v>534</v>
      </c>
      <c r="C57" s="118">
        <f>'rekst - sjóðstr - efnah - aðals'!C57+'rekst - sjóðstr - efnah - eigna'!C57+'rekst - sjóðstr - efnah - faste'!C57+'rekst - sjóðstr - efnah - Byggð'!C57+'rekst - sjóðstr - efnah - milli'!C57</f>
        <v>14346</v>
      </c>
      <c r="D57" s="1">
        <f>'rekst - sjóðstr - efnah - aðals'!D57+'rekst - sjóðstr - efnah - eigna'!D57+'rekst - sjóðstr - efnah - faste'!D57+'rekst - sjóðstr - efnah - Byggð'!D57+'rekst - sjóðstr - efnah - milli'!D57</f>
        <v>0</v>
      </c>
      <c r="E57" s="125">
        <f>C57+D57</f>
        <v>14346</v>
      </c>
      <c r="G57" s="118">
        <f t="shared" si="3"/>
        <v>14346</v>
      </c>
      <c r="H57" s="1">
        <f t="shared" si="3"/>
        <v>0</v>
      </c>
      <c r="I57" s="125">
        <f>G57+H57</f>
        <v>14346</v>
      </c>
      <c r="J57" s="162"/>
    </row>
    <row r="58" spans="2:10" ht="12.75">
      <c r="B58" s="35" t="s">
        <v>535</v>
      </c>
      <c r="C58" s="121">
        <v>0</v>
      </c>
      <c r="D58" s="126">
        <f>'rekst - sjóðstr - efnah - aðals'!D58+'rekst - sjóðstr - efnah - eigna'!D58+'rekst - sjóðstr - efnah - faste'!D58+'rekst - sjóðstr - efnah - Byggð'!D58+'rekst - sjóðstr - efnah - milli'!D58</f>
        <v>0</v>
      </c>
      <c r="E58" s="147">
        <f>C58+D58</f>
        <v>0</v>
      </c>
      <c r="G58" s="121">
        <f t="shared" si="3"/>
        <v>0</v>
      </c>
      <c r="H58" s="126">
        <f t="shared" si="3"/>
        <v>0</v>
      </c>
      <c r="I58" s="147">
        <f>G58+H58</f>
        <v>0</v>
      </c>
      <c r="J58" s="162"/>
    </row>
    <row r="59" spans="2:10" ht="12.75">
      <c r="B59" s="30" t="s">
        <v>530</v>
      </c>
      <c r="C59" s="121">
        <f>SUM(C54:C58)</f>
        <v>-6438</v>
      </c>
      <c r="D59" s="48">
        <f>SUM(D54:D58)</f>
        <v>0</v>
      </c>
      <c r="E59" s="121">
        <f>SUM(E54:E58)</f>
        <v>-6438</v>
      </c>
      <c r="G59" s="121">
        <f>SUM(G54:G58)</f>
        <v>-6438</v>
      </c>
      <c r="H59" s="48">
        <f>SUM(H54:H58)</f>
        <v>0</v>
      </c>
      <c r="I59" s="121">
        <f>SUM(I54:I58)</f>
        <v>-6438</v>
      </c>
      <c r="J59" s="162"/>
    </row>
    <row r="60" spans="2:10" ht="13.5" thickBot="1">
      <c r="B60" s="57" t="s">
        <v>536</v>
      </c>
      <c r="C60" s="123">
        <f>C52+C59</f>
        <v>658027</v>
      </c>
      <c r="D60" s="124">
        <f>D52+D59</f>
        <v>13409.052</v>
      </c>
      <c r="E60" s="123">
        <f>E52+E59</f>
        <v>671436.052</v>
      </c>
      <c r="G60" s="123">
        <f>G52+G59</f>
        <v>658027</v>
      </c>
      <c r="H60" s="124">
        <f>H52+H59</f>
        <v>13409.052</v>
      </c>
      <c r="I60" s="123">
        <f>I52+I59</f>
        <v>671436.052</v>
      </c>
      <c r="J60" s="162"/>
    </row>
    <row r="61" spans="2:10" ht="13.5" thickTop="1">
      <c r="B61" s="30"/>
      <c r="C61" s="59"/>
      <c r="D61" s="1"/>
      <c r="E61" s="114"/>
      <c r="G61" s="59"/>
      <c r="H61" s="1"/>
      <c r="I61" s="114"/>
      <c r="J61" s="162"/>
    </row>
    <row r="62" spans="2:10" ht="12.75">
      <c r="B62" s="33" t="s">
        <v>537</v>
      </c>
      <c r="C62" s="60"/>
      <c r="D62" s="1"/>
      <c r="E62" s="114"/>
      <c r="G62" s="60"/>
      <c r="H62" s="1"/>
      <c r="I62" s="114"/>
      <c r="J62" s="162"/>
    </row>
    <row r="63" spans="2:10" ht="12.75">
      <c r="B63" s="35" t="s">
        <v>538</v>
      </c>
      <c r="C63" s="118">
        <f>'rekst - sjóðstr - efnah - aðals'!C62+'rekst - sjóðstr - efnah - eigna'!C63+'rekst - sjóðstr - efnah - faste'!C63+'rekst - sjóðstr - efnah - Byggð'!C63+'rekst - sjóðstr - efnah - milli'!C63</f>
        <v>-567000</v>
      </c>
      <c r="D63" s="67">
        <f>'rekst - sjóðstr - efnah - aðals'!D62+'rekst - sjóðstr - efnah - eigna'!D63+'rekst - sjóðstr - efnah - faste'!D63+'rekst - sjóðstr - efnah - Byggð'!D63+'rekst - sjóðstr - efnah - milli'!D63</f>
        <v>-162000</v>
      </c>
      <c r="E63" s="125">
        <f aca="true" t="shared" si="4" ref="E63:E68">C63+D63</f>
        <v>-729000</v>
      </c>
      <c r="G63" s="118">
        <f aca="true" t="shared" si="5" ref="G63:G68">C63</f>
        <v>-567000</v>
      </c>
      <c r="H63" s="67">
        <f aca="true" t="shared" si="6" ref="H63:H68">D63</f>
        <v>-162000</v>
      </c>
      <c r="I63" s="125">
        <f aca="true" t="shared" si="7" ref="I63:I68">G63+H63</f>
        <v>-729000</v>
      </c>
      <c r="J63" s="162"/>
    </row>
    <row r="64" spans="2:10" ht="12.75" outlineLevel="1">
      <c r="B64" s="35" t="s">
        <v>539</v>
      </c>
      <c r="C64" s="118">
        <f>'rekst - sjóðstr - efnah - aðals'!C63+'rekst - sjóðstr - efnah - eigna'!C64+'rekst - sjóðstr - efnah - faste'!C64+'rekst - sjóðstr - efnah - Byggð'!C64+'rekst - sjóðstr - efnah - milli'!C64</f>
        <v>0</v>
      </c>
      <c r="D64" s="67">
        <f>'rekst - sjóðstr - efnah - aðals'!D63+'rekst - sjóðstr - efnah - eigna'!D64+'rekst - sjóðstr - efnah - faste'!D64+'rekst - sjóðstr - efnah - Byggð'!D64+'rekst - sjóðstr - efnah - milli'!D64</f>
        <v>0</v>
      </c>
      <c r="E64" s="125">
        <f t="shared" si="4"/>
        <v>0</v>
      </c>
      <c r="G64" s="118">
        <f t="shared" si="5"/>
        <v>0</v>
      </c>
      <c r="H64" s="67">
        <f t="shared" si="6"/>
        <v>0</v>
      </c>
      <c r="I64" s="125">
        <f t="shared" si="7"/>
        <v>0</v>
      </c>
      <c r="J64" s="162"/>
    </row>
    <row r="65" spans="2:10" ht="12.75" outlineLevel="1">
      <c r="B65" s="35" t="s">
        <v>540</v>
      </c>
      <c r="C65" s="118">
        <f>'rekst - sjóðstr - efnah - aðals'!C64+'rekst - sjóðstr - efnah - eigna'!C65+'rekst - sjóðstr - efnah - faste'!C65+'rekst - sjóðstr - efnah - Byggð'!C65+'rekst - sjóðstr - efnah - milli'!C65</f>
        <v>0</v>
      </c>
      <c r="D65" s="67">
        <f>'rekst - sjóðstr - efnah - aðals'!D64+'rekst - sjóðstr - efnah - eigna'!D65+'rekst - sjóðstr - efnah - faste'!D65+'rekst - sjóðstr - efnah - Byggð'!D65+'rekst - sjóðstr - efnah - milli'!D65</f>
        <v>0</v>
      </c>
      <c r="E65" s="125">
        <f t="shared" si="4"/>
        <v>0</v>
      </c>
      <c r="G65" s="118">
        <f t="shared" si="5"/>
        <v>0</v>
      </c>
      <c r="H65" s="67">
        <f t="shared" si="6"/>
        <v>0</v>
      </c>
      <c r="I65" s="125">
        <f t="shared" si="7"/>
        <v>0</v>
      </c>
      <c r="J65" s="162"/>
    </row>
    <row r="66" spans="2:10" ht="12.75">
      <c r="B66" s="35" t="s">
        <v>541</v>
      </c>
      <c r="C66" s="118">
        <f>'rekst - sjóðstr - efnah - aðals'!C65+'rekst - sjóðstr - efnah - eigna'!C66+'rekst - sjóðstr - efnah - faste'!C66+'rekst - sjóðstr - efnah - Byggð'!C66+'rekst - sjóðstr - efnah - milli'!C66</f>
        <v>56240</v>
      </c>
      <c r="D66" s="67">
        <f>'rekst - sjóðstr - efnah - aðals'!D65+'rekst - sjóðstr - efnah - eigna'!D66+'rekst - sjóðstr - efnah - faste'!D66+'rekst - sjóðstr - efnah - Byggð'!D66+'rekst - sjóðstr - efnah - milli'!D66</f>
        <v>0</v>
      </c>
      <c r="E66" s="125">
        <f t="shared" si="4"/>
        <v>56240</v>
      </c>
      <c r="G66" s="118">
        <f t="shared" si="5"/>
        <v>56240</v>
      </c>
      <c r="H66" s="67">
        <f t="shared" si="6"/>
        <v>0</v>
      </c>
      <c r="I66" s="125">
        <f t="shared" si="7"/>
        <v>56240</v>
      </c>
      <c r="J66" s="162"/>
    </row>
    <row r="67" spans="2:10" ht="12.75" outlineLevel="1">
      <c r="B67" s="35" t="s">
        <v>542</v>
      </c>
      <c r="C67" s="118">
        <f>'rekst - sjóðstr - efnah - aðals'!C66+'rekst - sjóðstr - efnah - eigna'!C67+'rekst - sjóðstr - efnah - faste'!C67+'rekst - sjóðstr - efnah - Byggð'!C67+'rekst - sjóðstr - efnah - milli'!C67</f>
        <v>0</v>
      </c>
      <c r="D67" s="67">
        <f>'rekst - sjóðstr - efnah - aðals'!D66+'rekst - sjóðstr - efnah - eigna'!D67+'rekst - sjóðstr - efnah - faste'!D67+'rekst - sjóðstr - efnah - Byggð'!D67+'rekst - sjóðstr - efnah - milli'!D67</f>
        <v>0</v>
      </c>
      <c r="E67" s="125">
        <f t="shared" si="4"/>
        <v>0</v>
      </c>
      <c r="G67" s="118">
        <f t="shared" si="5"/>
        <v>0</v>
      </c>
      <c r="H67" s="67">
        <f t="shared" si="6"/>
        <v>0</v>
      </c>
      <c r="I67" s="125">
        <f t="shared" si="7"/>
        <v>0</v>
      </c>
      <c r="J67" s="162"/>
    </row>
    <row r="68" spans="2:10" ht="12.75" outlineLevel="1">
      <c r="B68" s="35" t="s">
        <v>528</v>
      </c>
      <c r="C68" s="118">
        <f>'rekst - sjóðstr - efnah - aðals'!C67+'rekst - sjóðstr - efnah - eigna'!C68+'rekst - sjóðstr - efnah - faste'!C68+'rekst - sjóðstr - efnah - Byggð'!C68+'rekst - sjóðstr - efnah - milli'!C68</f>
        <v>0</v>
      </c>
      <c r="D68" s="67">
        <f>'rekst - sjóðstr - efnah - aðals'!D67+'rekst - sjóðstr - efnah - eigna'!D68+'rekst - sjóðstr - efnah - faste'!D68+'rekst - sjóðstr - efnah - Byggð'!D68+'rekst - sjóðstr - efnah - milli'!D68</f>
        <v>0</v>
      </c>
      <c r="E68" s="125">
        <f t="shared" si="4"/>
        <v>0</v>
      </c>
      <c r="G68" s="118">
        <f t="shared" si="5"/>
        <v>0</v>
      </c>
      <c r="H68" s="67">
        <f t="shared" si="6"/>
        <v>0</v>
      </c>
      <c r="I68" s="125">
        <f t="shared" si="7"/>
        <v>0</v>
      </c>
      <c r="J68" s="162"/>
    </row>
    <row r="69" spans="2:10" ht="12.75">
      <c r="B69" s="30" t="s">
        <v>537</v>
      </c>
      <c r="C69" s="120">
        <f>SUM(C63:C68)</f>
        <v>-510760</v>
      </c>
      <c r="D69" s="40">
        <f>SUM(D63:D68)</f>
        <v>-162000</v>
      </c>
      <c r="E69" s="120">
        <f>SUM(E63:E68)</f>
        <v>-672760</v>
      </c>
      <c r="G69" s="120">
        <f>SUM(G63:G68)</f>
        <v>-510760</v>
      </c>
      <c r="H69" s="40">
        <f>SUM(H63:H68)</f>
        <v>-162000</v>
      </c>
      <c r="I69" s="120">
        <f>SUM(I63:I68)</f>
        <v>-672760</v>
      </c>
      <c r="J69" s="162"/>
    </row>
    <row r="70" spans="2:10" ht="12.75">
      <c r="B70" s="41"/>
      <c r="C70" s="118"/>
      <c r="D70" s="67"/>
      <c r="E70" s="114"/>
      <c r="G70" s="118"/>
      <c r="H70" s="1"/>
      <c r="I70" s="114"/>
      <c r="J70" s="162"/>
    </row>
    <row r="71" spans="2:10" ht="12.75">
      <c r="B71" s="33" t="s">
        <v>543</v>
      </c>
      <c r="C71" s="60"/>
      <c r="D71" s="67"/>
      <c r="E71" s="114"/>
      <c r="G71" s="60"/>
      <c r="H71" s="1"/>
      <c r="I71" s="114"/>
      <c r="J71" s="162"/>
    </row>
    <row r="72" spans="2:10" ht="12.75" outlineLevel="1">
      <c r="B72" s="35" t="s">
        <v>544</v>
      </c>
      <c r="C72" s="118">
        <f>'rekst - sjóðstr - efnah - aðals'!C71+'rekst - sjóðstr - efnah - eigna'!C72+'rekst - sjóðstr - efnah - faste'!C72+'rekst - sjóðstr - efnah - Byggð'!C72+'rekst - sjóðstr - efnah - milli'!C72</f>
        <v>0</v>
      </c>
      <c r="D72" s="67">
        <f>'rekst - sjóðstr - efnah - aðals'!D71+'rekst - sjóðstr - efnah - eigna'!D72+'rekst - sjóðstr - efnah - faste'!D72+'rekst - sjóðstr - efnah - Byggð'!D72+'rekst - sjóðstr - efnah - milli'!D72</f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  <c r="J72" s="162"/>
    </row>
    <row r="73" spans="2:10" ht="12.75" outlineLevel="1">
      <c r="B73" s="35" t="s">
        <v>545</v>
      </c>
      <c r="C73" s="118">
        <f>'rekst - sjóðstr - efnah - aðals'!C72+'rekst - sjóðstr - efnah - eigna'!C73+'rekst - sjóðstr - efnah - faste'!C73+'rekst - sjóðstr - efnah - Byggð'!C73+'rekst - sjóðstr - efnah - milli'!C73</f>
        <v>2579</v>
      </c>
      <c r="D73" s="67">
        <f>'rekst - sjóðstr - efnah - aðals'!D72+'rekst - sjóðstr - efnah - eigna'!D73+'rekst - sjóðstr - efnah - faste'!D73+'rekst - sjóðstr - efnah - Byggð'!D73+'rekst - sjóðstr - efnah - milli'!D73</f>
        <v>0</v>
      </c>
      <c r="E73" s="125">
        <f aca="true" t="shared" si="8" ref="E73:E81">C73+D73</f>
        <v>2579</v>
      </c>
      <c r="G73" s="118">
        <f aca="true" t="shared" si="9" ref="G73:G81">C73</f>
        <v>2579</v>
      </c>
      <c r="H73" s="67">
        <f aca="true" t="shared" si="10" ref="H73:H81">D73</f>
        <v>0</v>
      </c>
      <c r="I73" s="125">
        <f aca="true" t="shared" si="11" ref="I73:I81">G73+H73</f>
        <v>2579</v>
      </c>
      <c r="J73" s="162"/>
    </row>
    <row r="74" spans="2:10" ht="12.75" outlineLevel="1">
      <c r="B74" s="35" t="s">
        <v>546</v>
      </c>
      <c r="C74" s="118">
        <f>'rekst - sjóðstr - efnah - aðals'!C73+'rekst - sjóðstr - efnah - eigna'!C74+'rekst - sjóðstr - efnah - faste'!C74+'rekst - sjóðstr - efnah - Byggð'!C74+'rekst - sjóðstr - efnah - milli'!C74</f>
        <v>0</v>
      </c>
      <c r="D74" s="67">
        <f>'rekst - sjóðstr - efnah - aðals'!D73+'rekst - sjóðstr - efnah - eigna'!D74+'rekst - sjóðstr - efnah - faste'!D74+'rekst - sjóðstr - efnah - Byggð'!D74+'rekst - sjóðstr - efnah - milli'!D74</f>
        <v>0</v>
      </c>
      <c r="E74" s="125">
        <f t="shared" si="8"/>
        <v>0</v>
      </c>
      <c r="G74" s="118">
        <f t="shared" si="9"/>
        <v>0</v>
      </c>
      <c r="H74" s="67">
        <f t="shared" si="10"/>
        <v>0</v>
      </c>
      <c r="I74" s="125">
        <f t="shared" si="11"/>
        <v>0</v>
      </c>
      <c r="J74" s="162"/>
    </row>
    <row r="75" spans="2:10" ht="12.75" outlineLevel="1">
      <c r="B75" s="35" t="s">
        <v>954</v>
      </c>
      <c r="C75" s="118">
        <f>'rekst - sjóðstr - efnah - aðals'!C74+'rekst - sjóðstr - efnah - eigna'!C75+'rekst - sjóðstr - efnah - faste'!C75+'rekst - sjóðstr - efnah - Byggð'!C75+'rekst - sjóðstr - efnah - milli'!C75</f>
        <v>-88835</v>
      </c>
      <c r="D75" s="67">
        <f>'rekst - sjóðstr - efnah - aðals'!D74+'rekst - sjóðstr - efnah - eigna'!D75+'rekst - sjóðstr - efnah - faste'!D75+'rekst - sjóðstr - efnah - Byggð'!D75+'rekst - sjóðstr - efnah - milli'!D75</f>
        <v>0</v>
      </c>
      <c r="E75" s="125">
        <f t="shared" si="8"/>
        <v>-88835</v>
      </c>
      <c r="G75" s="118">
        <f t="shared" si="9"/>
        <v>-88835</v>
      </c>
      <c r="H75" s="67"/>
      <c r="I75" s="125">
        <f t="shared" si="11"/>
        <v>-88835</v>
      </c>
      <c r="J75" s="162"/>
    </row>
    <row r="76" spans="2:10" ht="12.75" outlineLevel="1">
      <c r="B76" s="35" t="s">
        <v>955</v>
      </c>
      <c r="C76" s="118">
        <f>'rekst - sjóðstr - efnah - aðals'!C75+'rekst - sjóðstr - efnah - eigna'!C76+'rekst - sjóðstr - efnah - faste'!C76+'rekst - sjóðstr - efnah - Byggð'!C76+'rekst - sjóðstr - efnah - milli'!C76</f>
        <v>-74081</v>
      </c>
      <c r="D76" s="67">
        <f>'rekst - sjóðstr - efnah - aðals'!D75+'rekst - sjóðstr - efnah - eigna'!D76+'rekst - sjóðstr - efnah - faste'!D76+'rekst - sjóðstr - efnah - Byggð'!D76+'rekst - sjóðstr - efnah - milli'!D76</f>
        <v>0</v>
      </c>
      <c r="E76" s="125">
        <f t="shared" si="8"/>
        <v>-74081</v>
      </c>
      <c r="G76" s="118">
        <f t="shared" si="9"/>
        <v>-74081</v>
      </c>
      <c r="H76" s="67"/>
      <c r="I76" s="125">
        <f t="shared" si="11"/>
        <v>-74081</v>
      </c>
      <c r="J76" s="162"/>
    </row>
    <row r="77" spans="2:10" ht="12.75">
      <c r="B77" s="35" t="s">
        <v>547</v>
      </c>
      <c r="C77" s="118">
        <f>'rekst - sjóðstr - efnah - aðals'!C76+'rekst - sjóðstr - efnah - eigna'!C77+'rekst - sjóðstr - efnah - faste'!C77+'rekst - sjóðstr - efnah - Byggð'!C77+'rekst - sjóðstr - efnah - milli'!C77</f>
        <v>-268400</v>
      </c>
      <c r="D77" s="67">
        <f>'rekst - sjóðstr - efnah - aðals'!D76+'rekst - sjóðstr - efnah - eigna'!D77+'rekst - sjóðstr - efnah - faste'!D77+'rekst - sjóðstr - efnah - Byggð'!D77+'rekst - sjóðstr - efnah - milli'!D77</f>
        <v>0</v>
      </c>
      <c r="E77" s="125">
        <f t="shared" si="8"/>
        <v>-268400</v>
      </c>
      <c r="G77" s="118">
        <f t="shared" si="9"/>
        <v>-268400</v>
      </c>
      <c r="H77" s="67">
        <f t="shared" si="10"/>
        <v>0</v>
      </c>
      <c r="I77" s="125">
        <f t="shared" si="11"/>
        <v>-268400</v>
      </c>
      <c r="J77" s="162"/>
    </row>
    <row r="78" spans="2:10" ht="12.75">
      <c r="B78" s="35" t="s">
        <v>548</v>
      </c>
      <c r="C78" s="118">
        <f>'rekst - sjóðstr - efnah - aðals'!C77+'rekst - sjóðstr - efnah - eigna'!C78+'rekst - sjóðstr - efnah - faste'!C78+'rekst - sjóðstr - efnah - Byggð'!C78+'rekst - sjóðstr - efnah - milli'!C78</f>
        <v>0</v>
      </c>
      <c r="D78" s="67">
        <f>'rekst - sjóðstr - efnah - aðals'!D77+'rekst - sjóðstr - efnah - eigna'!D78+'rekst - sjóðstr - efnah - faste'!D78+'rekst - sjóðstr - efnah - Byggð'!D78+'rekst - sjóðstr - efnah - milli'!D78</f>
        <v>0</v>
      </c>
      <c r="E78" s="125">
        <f t="shared" si="8"/>
        <v>0</v>
      </c>
      <c r="G78" s="118">
        <f t="shared" si="9"/>
        <v>0</v>
      </c>
      <c r="H78" s="67">
        <f t="shared" si="10"/>
        <v>0</v>
      </c>
      <c r="I78" s="125">
        <f t="shared" si="11"/>
        <v>0</v>
      </c>
      <c r="J78" s="162"/>
    </row>
    <row r="79" spans="2:10" ht="12.75">
      <c r="B79" s="35" t="s">
        <v>549</v>
      </c>
      <c r="C79" s="118">
        <f>'rekst - sjóðstr - efnah - aðals'!C78+'rekst - sjóðstr - efnah - eigna'!C79+'rekst - sjóðstr - efnah - faste'!C79+'rekst - sjóðstr - efnah - Byggð'!C79+'rekst - sjóðstr - efnah - milli'!C79</f>
        <v>0</v>
      </c>
      <c r="D79" s="67">
        <f>'rekst - sjóðstr - efnah - aðals'!D78+'rekst - sjóðstr - efnah - eigna'!D79+'rekst - sjóðstr - efnah - faste'!D79+'rekst - sjóðstr - efnah - Byggð'!D79+'rekst - sjóðstr - efnah - milli'!D79</f>
        <v>0</v>
      </c>
      <c r="E79" s="125">
        <f t="shared" si="8"/>
        <v>0</v>
      </c>
      <c r="G79" s="118">
        <f t="shared" si="9"/>
        <v>0</v>
      </c>
      <c r="H79" s="67">
        <f t="shared" si="10"/>
        <v>0</v>
      </c>
      <c r="I79" s="125">
        <f t="shared" si="11"/>
        <v>0</v>
      </c>
      <c r="J79" s="162"/>
    </row>
    <row r="80" spans="2:10" ht="12.75">
      <c r="B80" s="35" t="s">
        <v>550</v>
      </c>
      <c r="C80" s="118">
        <f>'rekst - sjóðstr - efnah - aðals'!C79+'rekst - sjóðstr - efnah - eigna'!C80+'rekst - sjóðstr - efnah - faste'!C80+'rekst - sjóðstr - efnah - Byggð'!C80+'rekst - sjóðstr - efnah - milli'!C80</f>
        <v>0</v>
      </c>
      <c r="D80" s="67">
        <f>'rekst - sjóðstr - efnah - aðals'!D79+'rekst - sjóðstr - efnah - eigna'!D80+'rekst - sjóðstr - efnah - faste'!D80+'rekst - sjóðstr - efnah - Byggð'!D80+'rekst - sjóðstr - efnah - milli'!D80</f>
        <v>0</v>
      </c>
      <c r="E80" s="125">
        <f t="shared" si="8"/>
        <v>0</v>
      </c>
      <c r="G80" s="118">
        <f t="shared" si="9"/>
        <v>0</v>
      </c>
      <c r="H80" s="67">
        <f t="shared" si="10"/>
        <v>0</v>
      </c>
      <c r="I80" s="125">
        <f t="shared" si="11"/>
        <v>0</v>
      </c>
      <c r="J80" s="162"/>
    </row>
    <row r="81" spans="2:10" ht="12.75">
      <c r="B81" s="35" t="s">
        <v>528</v>
      </c>
      <c r="C81" s="118">
        <f>'rekst - sjóðstr - efnah - aðals'!C80+'rekst - sjóðstr - efnah - eigna'!C81+'rekst - sjóðstr - efnah - faste'!C81+'rekst - sjóðstr - efnah - Byggð'!C81+'rekst - sjóðstr - efnah - milli'!C81</f>
        <v>0</v>
      </c>
      <c r="D81" s="67">
        <f>'rekst - sjóðstr - efnah - aðals'!D80+'rekst - sjóðstr - efnah - eigna'!D81+'rekst - sjóðstr - efnah - faste'!D81+'rekst - sjóðstr - efnah - Byggð'!D81+'rekst - sjóðstr - efnah - milli'!D81</f>
        <v>0</v>
      </c>
      <c r="E81" s="125">
        <f t="shared" si="8"/>
        <v>0</v>
      </c>
      <c r="G81" s="118">
        <f t="shared" si="9"/>
        <v>0</v>
      </c>
      <c r="H81" s="67">
        <f t="shared" si="10"/>
        <v>0</v>
      </c>
      <c r="I81" s="125">
        <f t="shared" si="11"/>
        <v>0</v>
      </c>
      <c r="J81" s="162"/>
    </row>
    <row r="82" spans="2:10" ht="12.75">
      <c r="B82" s="30" t="s">
        <v>543</v>
      </c>
      <c r="C82" s="120">
        <f>SUM(C72:C81)</f>
        <v>-428737</v>
      </c>
      <c r="D82" s="40">
        <f>SUM(D72:D81)</f>
        <v>0</v>
      </c>
      <c r="E82" s="120">
        <f>SUM(E72:E81)</f>
        <v>-428737</v>
      </c>
      <c r="G82" s="120">
        <f>SUM(G72:G81)</f>
        <v>-428737</v>
      </c>
      <c r="H82" s="40">
        <f>SUM(H72:H81)</f>
        <v>0</v>
      </c>
      <c r="I82" s="120">
        <f>SUM(I72:I81)</f>
        <v>-428737</v>
      </c>
      <c r="J82" s="162"/>
    </row>
    <row r="83" spans="2:10" ht="12.75">
      <c r="B83" s="30"/>
      <c r="C83" s="118"/>
      <c r="D83" s="67"/>
      <c r="E83" s="114"/>
      <c r="G83" s="118"/>
      <c r="H83" s="1"/>
      <c r="I83" s="114"/>
      <c r="J83" s="162"/>
    </row>
    <row r="84" spans="2:10" ht="12.75">
      <c r="B84" s="43" t="s">
        <v>551</v>
      </c>
      <c r="C84" s="118">
        <f>C60+C69+C82</f>
        <v>-281470</v>
      </c>
      <c r="D84" s="44">
        <f>D60+D69+D82</f>
        <v>-148590.948</v>
      </c>
      <c r="E84" s="118">
        <f>E60+E69+E82</f>
        <v>-430060.948</v>
      </c>
      <c r="G84" s="118">
        <f>G60+G69+G82</f>
        <v>-281470</v>
      </c>
      <c r="H84" s="44">
        <f>H60+H69+H82</f>
        <v>-148590.948</v>
      </c>
      <c r="I84" s="118">
        <f>I60+I69+I82</f>
        <v>-430060.948</v>
      </c>
      <c r="J84" s="162"/>
    </row>
    <row r="85" spans="2:10" ht="12.75">
      <c r="B85" s="43" t="s">
        <v>552</v>
      </c>
      <c r="C85" s="121">
        <f>'rekst - sjóðstr - efnah - aðals'!C84+'rekst - sjóðstr - efnah - eigna'!C85+'rekst - sjóðstr - efnah - faste'!C85+'rekst - sjóðstr - efnah - Byggð'!C85+'rekst - sjóðstr - efnah - milli'!C85</f>
        <v>697515</v>
      </c>
      <c r="D85" s="48">
        <v>0</v>
      </c>
      <c r="E85" s="121">
        <f>C85+D85</f>
        <v>697515</v>
      </c>
      <c r="G85" s="121">
        <f>C85+J85</f>
        <v>999258</v>
      </c>
      <c r="H85" s="48">
        <f>D85</f>
        <v>0</v>
      </c>
      <c r="I85" s="121">
        <f>G85+H85</f>
        <v>999258</v>
      </c>
      <c r="J85" s="159">
        <f>999258-C85</f>
        <v>301743</v>
      </c>
    </row>
    <row r="86" spans="2:10" ht="13.5" thickBot="1">
      <c r="B86" s="43" t="s">
        <v>553</v>
      </c>
      <c r="C86" s="123">
        <f>SUM(C84:C85)</f>
        <v>416045</v>
      </c>
      <c r="D86" s="124">
        <f>SUM(D84:D85)</f>
        <v>-148590.948</v>
      </c>
      <c r="E86" s="123">
        <f>SUM(E84:E85)</f>
        <v>267454.052</v>
      </c>
      <c r="G86" s="123">
        <f>SUM(G84:G85)</f>
        <v>717788</v>
      </c>
      <c r="H86" s="124">
        <f>SUM(H84:H85)</f>
        <v>-148590.948</v>
      </c>
      <c r="I86" s="123">
        <f>SUM(I84:I85)</f>
        <v>569197.052</v>
      </c>
      <c r="J86" s="162"/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14</v>
      </c>
      <c r="D92" s="29" t="s">
        <v>14</v>
      </c>
      <c r="E92" s="28" t="s">
        <v>14</v>
      </c>
      <c r="G92" s="28" t="s">
        <v>14</v>
      </c>
      <c r="H92" s="29" t="s">
        <v>14</v>
      </c>
      <c r="I92" s="28" t="s">
        <v>14</v>
      </c>
      <c r="J92" s="157" t="s">
        <v>14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1488</v>
      </c>
    </row>
    <row r="94" spans="2:10" ht="12.7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409.5">
      <c r="B96" s="35" t="s">
        <v>558</v>
      </c>
      <c r="C96" s="118">
        <f>'rekst - sjóðstr - efnah - aðals'!C95+'rekst - sjóðstr - efnah - eigna'!C96+'rekst - sjóðstr - efnah - faste'!C96+'rekst - sjóðstr - efnah - Byggð'!C96+'rekst - sjóðstr - efnah - milli'!C96</f>
        <v>4081681</v>
      </c>
      <c r="D96" s="67">
        <f>'rekst - sjóðstr - efnah - aðals'!D95+'rekst - sjóðstr - efnah - eigna'!D96+'rekst - sjóðstr - efnah - faste'!D96+'rekst - sjóðstr - efnah - Byggð'!D96+'rekst - sjóðstr - efnah - milli'!D96</f>
        <v>148590.948</v>
      </c>
      <c r="E96" s="125">
        <f>C96+D96</f>
        <v>4230271.948</v>
      </c>
      <c r="G96" s="118">
        <f>C96+J96</f>
        <v>3849805</v>
      </c>
      <c r="H96" s="67">
        <f>D96</f>
        <v>148590.948</v>
      </c>
      <c r="I96" s="125">
        <f>G96+H96</f>
        <v>3998395.948</v>
      </c>
      <c r="J96" s="159">
        <f>3849805-C96</f>
        <v>-231876</v>
      </c>
    </row>
    <row r="97" spans="2:10" ht="409.5">
      <c r="B97" s="35" t="s">
        <v>559</v>
      </c>
      <c r="C97" s="118">
        <f>'rekst - sjóðstr - efnah - aðals'!C96+'rekst - sjóðstr - efnah - eigna'!C97+'rekst - sjóðstr - efnah - faste'!C97+'rekst - sjóðstr - efnah - Byggð'!C97+'rekst - sjóðstr - efnah - milli'!C97</f>
        <v>735913</v>
      </c>
      <c r="D97" s="67">
        <f>'rekst - sjóðstr - efnah - aðals'!D96+'rekst - sjóðstr - efnah - eigna'!D97+'rekst - sjóðstr - efnah - faste'!D97+'rekst - sjóðstr - efnah - Byggð'!D97+'rekst - sjóðstr - efnah - milli'!D97</f>
        <v>0</v>
      </c>
      <c r="E97" s="125">
        <f>C97+D97</f>
        <v>735913</v>
      </c>
      <c r="G97" s="118">
        <f>C97+J97</f>
        <v>612084</v>
      </c>
      <c r="H97" s="67">
        <f>D97</f>
        <v>0</v>
      </c>
      <c r="I97" s="125">
        <f>G97+H97</f>
        <v>612084</v>
      </c>
      <c r="J97" s="159">
        <f>612084-C97</f>
        <v>-123829</v>
      </c>
    </row>
    <row r="98" spans="2:10" ht="409.5">
      <c r="B98" s="35" t="s">
        <v>560</v>
      </c>
      <c r="C98" s="118">
        <f>'rekst - sjóðstr - efnah - aðals'!C97+'rekst - sjóðstr - efnah - eigna'!C98+'rekst - sjóðstr - efnah - faste'!C98+'rekst - sjóðstr - efnah - Byggð'!C98+'rekst - sjóðstr - efnah - milli'!C98</f>
        <v>79735</v>
      </c>
      <c r="D98" s="67">
        <f>'rekst - sjóðstr - efnah - aðals'!D97+'rekst - sjóðstr - efnah - eigna'!D98+'rekst - sjóðstr - efnah - faste'!D98+'rekst - sjóðstr - efnah - Byggð'!D98+'rekst - sjóðstr - efnah - milli'!D98</f>
        <v>0</v>
      </c>
      <c r="E98" s="125">
        <f>C98+D98</f>
        <v>79735</v>
      </c>
      <c r="G98" s="118">
        <f>C98+J98</f>
        <v>97118</v>
      </c>
      <c r="H98" s="67">
        <f>D98</f>
        <v>0</v>
      </c>
      <c r="I98" s="125">
        <f>G98+H98</f>
        <v>97118</v>
      </c>
      <c r="J98" s="159">
        <f>97118-C98</f>
        <v>17383</v>
      </c>
    </row>
    <row r="99" spans="2:10" ht="409.5">
      <c r="B99" s="35" t="s">
        <v>561</v>
      </c>
      <c r="C99" s="118">
        <f>'rekst - sjóðstr - efnah - aðals'!C98+'rekst - sjóðstr - efnah - eigna'!C99+'rekst - sjóðstr - efnah - faste'!C99+'rekst - sjóðstr - efnah - Byggð'!C99+'rekst - sjóðstr - efnah - milli'!C99</f>
        <v>0</v>
      </c>
      <c r="D99" s="67">
        <f>'rekst - sjóðstr - efnah - aðals'!D98+'rekst - sjóðstr - efnah - eigna'!D99+'rekst - sjóðstr - efnah - faste'!D99+'rekst - sjóðstr - efnah - Byggð'!D99+'rekst - sjóðstr - efnah - milli'!D99</f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409.5">
      <c r="B100" s="35"/>
      <c r="C100" s="120">
        <f>SUM(C96:C99)</f>
        <v>4897329</v>
      </c>
      <c r="D100" s="40">
        <f>SUM(D96:D99)</f>
        <v>148590.948</v>
      </c>
      <c r="E100" s="120">
        <f>SUM(E96:E99)</f>
        <v>5045919.948</v>
      </c>
      <c r="G100" s="120">
        <f>SUM(G96:G99)</f>
        <v>4559007</v>
      </c>
      <c r="H100" s="40">
        <f>SUM(H96:H99)</f>
        <v>148590.948</v>
      </c>
      <c r="I100" s="120">
        <f>SUM(I96:I99)</f>
        <v>4707597.948</v>
      </c>
      <c r="J100" s="160">
        <f>SUM(J96:J99)</f>
        <v>-338322</v>
      </c>
    </row>
    <row r="101" spans="2:10" ht="409.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409.5">
      <c r="B102" s="35" t="s">
        <v>563</v>
      </c>
      <c r="C102" s="118">
        <f>'rekst - sjóðstr - efnah - aðals'!C101+'rekst - sjóðstr - efnah - eigna'!C102+'rekst - sjóðstr - efnah - faste'!C102+'rekst - sjóðstr - efnah - Byggð'!C102+'rekst - sjóðstr - efnah - milli'!C102</f>
        <v>5277634</v>
      </c>
      <c r="D102" s="67">
        <f>'rekst - sjóðstr - efnah - aðals'!D101+'rekst - sjóðstr - efnah - eigna'!D102+'rekst - sjóðstr - efnah - faste'!D102+'rekst - sjóðstr - efnah - Byggð'!D102+'rekst - sjóðstr - efnah - milli'!D102</f>
        <v>0</v>
      </c>
      <c r="E102" s="125">
        <f aca="true" t="shared" si="12" ref="E102:E107">C102+D102</f>
        <v>5277634</v>
      </c>
      <c r="G102" s="118">
        <f aca="true" t="shared" si="13" ref="G102:G107">C102+J102</f>
        <v>5281872</v>
      </c>
      <c r="H102" s="67">
        <f aca="true" t="shared" si="14" ref="H102:H107">D102</f>
        <v>0</v>
      </c>
      <c r="I102" s="125">
        <f aca="true" t="shared" si="15" ref="I102:I107">G102+H102</f>
        <v>5281872</v>
      </c>
      <c r="J102" s="159">
        <f>5281872-C102</f>
        <v>4238</v>
      </c>
    </row>
    <row r="103" spans="2:10" ht="409.5">
      <c r="B103" s="35" t="s">
        <v>564</v>
      </c>
      <c r="C103" s="118">
        <f>'rekst - sjóðstr - efnah - aðals'!C102+'rekst - sjóðstr - efnah - eigna'!C103+'rekst - sjóðstr - efnah - faste'!C103+'rekst - sjóðstr - efnah - Byggð'!C103+'rekst - sjóðstr - efnah - milli'!C103</f>
        <v>0</v>
      </c>
      <c r="D103" s="67">
        <f>'rekst - sjóðstr - efnah - aðals'!D102+'rekst - sjóðstr - efnah - eigna'!D103+'rekst - sjóðstr - efnah - faste'!D103+'rekst - sjóðstr - efnah - Byggð'!D103+'rekst - sjóðstr - efnah - milli'!D103</f>
        <v>0</v>
      </c>
      <c r="E103" s="125">
        <f t="shared" si="12"/>
        <v>0</v>
      </c>
      <c r="G103" s="118">
        <f t="shared" si="13"/>
        <v>0</v>
      </c>
      <c r="H103" s="67">
        <f t="shared" si="14"/>
        <v>0</v>
      </c>
      <c r="I103" s="125">
        <f t="shared" si="15"/>
        <v>0</v>
      </c>
      <c r="J103" s="159">
        <v>0</v>
      </c>
    </row>
    <row r="104" spans="2:10" ht="409.5">
      <c r="B104" s="35" t="s">
        <v>565</v>
      </c>
      <c r="C104" s="118">
        <f>'rekst - sjóðstr - efnah - aðals'!C103+'rekst - sjóðstr - efnah - eigna'!C104+'rekst - sjóðstr - efnah - faste'!C104+'rekst - sjóðstr - efnah - Byggð'!C104+'rekst - sjóðstr - efnah - milli'!C104</f>
        <v>0</v>
      </c>
      <c r="D104" s="67">
        <f>'rekst - sjóðstr - efnah - aðals'!D103+'rekst - sjóðstr - efnah - eigna'!D104+'rekst - sjóðstr - efnah - faste'!D104+'rekst - sjóðstr - efnah - Byggð'!D104+'rekst - sjóðstr - efnah - milli'!D104</f>
        <v>0</v>
      </c>
      <c r="E104" s="125">
        <f t="shared" si="12"/>
        <v>0</v>
      </c>
      <c r="G104" s="118">
        <f t="shared" si="13"/>
        <v>0</v>
      </c>
      <c r="H104" s="67">
        <f t="shared" si="14"/>
        <v>0</v>
      </c>
      <c r="I104" s="125">
        <f t="shared" si="15"/>
        <v>0</v>
      </c>
      <c r="J104" s="159">
        <v>0</v>
      </c>
    </row>
    <row r="105" spans="2:10" ht="409.5">
      <c r="B105" s="35" t="s">
        <v>566</v>
      </c>
      <c r="C105" s="118">
        <f>'rekst - sjóðstr - efnah - aðals'!C104+'rekst - sjóðstr - efnah - eigna'!C105+'rekst - sjóðstr - efnah - faste'!C105+'rekst - sjóðstr - efnah - Byggð'!C105+'rekst - sjóðstr - efnah - milli'!C105</f>
        <v>740859</v>
      </c>
      <c r="D105" s="67">
        <f>'rekst - sjóðstr - efnah - aðals'!D104+'rekst - sjóðstr - efnah - eigna'!D105+'rekst - sjóðstr - efnah - faste'!D105+'rekst - sjóðstr - efnah - Byggð'!D105+'rekst - sjóðstr - efnah - milli'!D105</f>
        <v>0</v>
      </c>
      <c r="E105" s="125">
        <f t="shared" si="12"/>
        <v>740859</v>
      </c>
      <c r="G105" s="118">
        <f t="shared" si="13"/>
        <v>744195</v>
      </c>
      <c r="H105" s="67">
        <f t="shared" si="14"/>
        <v>0</v>
      </c>
      <c r="I105" s="125">
        <f t="shared" si="15"/>
        <v>744195</v>
      </c>
      <c r="J105" s="159">
        <f>744195-C105</f>
        <v>3336</v>
      </c>
    </row>
    <row r="106" spans="2:10" ht="409.5">
      <c r="B106" s="35" t="s">
        <v>567</v>
      </c>
      <c r="C106" s="118">
        <f>'rekst - sjóðstr - efnah - aðals'!C105+'rekst - sjóðstr - efnah - eigna'!C106+'rekst - sjóðstr - efnah - faste'!C106+'rekst - sjóðstr - efnah - Byggð'!C106+'rekst - sjóðstr - efnah - milli'!C106</f>
        <v>0</v>
      </c>
      <c r="D106" s="67">
        <f>'rekst - sjóðstr - efnah - aðals'!D105+'rekst - sjóðstr - efnah - eigna'!D106+'rekst - sjóðstr - efnah - faste'!D106+'rekst - sjóðstr - efnah - Byggð'!D106+'rekst - sjóðstr - efnah - milli'!D106</f>
        <v>0</v>
      </c>
      <c r="E106" s="125">
        <f t="shared" si="12"/>
        <v>0</v>
      </c>
      <c r="G106" s="118">
        <f t="shared" si="13"/>
        <v>0</v>
      </c>
      <c r="H106" s="67">
        <f t="shared" si="14"/>
        <v>0</v>
      </c>
      <c r="I106" s="125">
        <f t="shared" si="15"/>
        <v>0</v>
      </c>
      <c r="J106" s="159">
        <v>0</v>
      </c>
    </row>
    <row r="107" spans="2:10" ht="409.5">
      <c r="B107" s="35" t="s">
        <v>568</v>
      </c>
      <c r="C107" s="118">
        <f>'rekst - sjóðstr - efnah - aðals'!C106+'rekst - sjóðstr - efnah - eigna'!C107+'rekst - sjóðstr - efnah - faste'!C107+'rekst - sjóðstr - efnah - Byggð'!C107+'rekst - sjóðstr - efnah - milli'!C107</f>
        <v>0</v>
      </c>
      <c r="D107" s="67">
        <f>'rekst - sjóðstr - efnah - aðals'!D106+'rekst - sjóðstr - efnah - eigna'!D107+'rekst - sjóðstr - efnah - faste'!D107+'rekst - sjóðstr - efnah - Byggð'!D107+'rekst - sjóðstr - efnah - milli'!D107</f>
        <v>0</v>
      </c>
      <c r="E107" s="125">
        <f t="shared" si="12"/>
        <v>0</v>
      </c>
      <c r="G107" s="118">
        <f t="shared" si="13"/>
        <v>0</v>
      </c>
      <c r="H107" s="67">
        <f t="shared" si="14"/>
        <v>0</v>
      </c>
      <c r="I107" s="125">
        <f t="shared" si="15"/>
        <v>0</v>
      </c>
      <c r="J107" s="159">
        <v>0</v>
      </c>
    </row>
    <row r="108" spans="2:10" ht="409.5">
      <c r="B108" s="35"/>
      <c r="C108" s="120">
        <f>SUM(C102:C107)</f>
        <v>6018493</v>
      </c>
      <c r="D108" s="40">
        <f>SUM(D102:D107)</f>
        <v>0</v>
      </c>
      <c r="E108" s="120">
        <f>SUM(E102:E107)</f>
        <v>6018493</v>
      </c>
      <c r="G108" s="120">
        <f>SUM(G102:G107)</f>
        <v>6026067</v>
      </c>
      <c r="H108" s="40">
        <f>SUM(H102:H107)</f>
        <v>0</v>
      </c>
      <c r="I108" s="120">
        <f>SUM(I102:I107)</f>
        <v>6026067</v>
      </c>
      <c r="J108" s="160">
        <f>SUM(J102:J107)</f>
        <v>7574</v>
      </c>
    </row>
    <row r="109" spans="2:10" ht="409.5">
      <c r="B109" s="30" t="s">
        <v>556</v>
      </c>
      <c r="C109" s="120">
        <f>C100+C108</f>
        <v>10915822</v>
      </c>
      <c r="D109" s="40">
        <f>D100+D108</f>
        <v>148590.948</v>
      </c>
      <c r="E109" s="120">
        <f>E100+E108</f>
        <v>11064412.947999999</v>
      </c>
      <c r="G109" s="120">
        <f>G100+G108</f>
        <v>10585074</v>
      </c>
      <c r="H109" s="40">
        <f>H100+H108</f>
        <v>148590.948</v>
      </c>
      <c r="I109" s="120">
        <f>I100+I108</f>
        <v>10733664.947999999</v>
      </c>
      <c r="J109" s="160">
        <f>J100+J108</f>
        <v>-330748</v>
      </c>
    </row>
    <row r="110" spans="2:10" ht="409.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409.5">
      <c r="B111" s="35" t="s">
        <v>570</v>
      </c>
      <c r="C111" s="118">
        <f>'rekst - sjóðstr - efnah - aðals'!C110+'rekst - sjóðstr - efnah - eigna'!C111+'rekst - sjóðstr - efnah - faste'!C111+'rekst - sjóðstr - efnah - Byggð'!C111+'rekst - sjóðstr - efnah - milli'!C111</f>
        <v>1263</v>
      </c>
      <c r="D111" s="67">
        <f>'rekst - sjóðstr - efnah - aðals'!D110+'rekst - sjóðstr - efnah - eigna'!D111+'rekst - sjóðstr - efnah - faste'!D111+'rekst - sjóðstr - efnah - Byggð'!D111+'rekst - sjóðstr - efnah - milli'!D102</f>
        <v>0</v>
      </c>
      <c r="E111" s="125">
        <f>C111+D111</f>
        <v>1263</v>
      </c>
      <c r="G111" s="118">
        <f>C111+J111</f>
        <v>1338</v>
      </c>
      <c r="H111" s="67">
        <f>D111</f>
        <v>0</v>
      </c>
      <c r="I111" s="125">
        <f>G111+H111</f>
        <v>1338</v>
      </c>
      <c r="J111" s="159">
        <f>1338-C111</f>
        <v>75</v>
      </c>
    </row>
    <row r="112" spans="2:10" ht="409.5">
      <c r="B112" s="35" t="s">
        <v>571</v>
      </c>
      <c r="C112" s="118">
        <f>'rekst - sjóðstr - efnah - aðals'!C111+'rekst - sjóðstr - efnah - eigna'!C112+'rekst - sjóðstr - efnah - faste'!C112+'rekst - sjóðstr - efnah - Byggð'!C112+'rekst - sjóðstr - efnah - milli'!C112</f>
        <v>463066</v>
      </c>
      <c r="D112" s="67">
        <f>'rekst - sjóðstr - efnah - aðals'!D111+'rekst - sjóðstr - efnah - eigna'!D112+'rekst - sjóðstr - efnah - faste'!D112+'rekst - sjóðstr - efnah - Byggð'!D112+'rekst - sjóðstr - efnah - milli'!D103</f>
        <v>0</v>
      </c>
      <c r="E112" s="125">
        <f aca="true" t="shared" si="16" ref="E112:E118">C112+D112</f>
        <v>463066</v>
      </c>
      <c r="G112" s="118">
        <f aca="true" t="shared" si="17" ref="G112:G118">C112+J112</f>
        <v>515029</v>
      </c>
      <c r="H112" s="67">
        <f aca="true" t="shared" si="18" ref="H112:H118">D112</f>
        <v>0</v>
      </c>
      <c r="I112" s="125">
        <f aca="true" t="shared" si="19" ref="I112:I118">G112+H112</f>
        <v>515029</v>
      </c>
      <c r="J112" s="159">
        <f>515029-C112</f>
        <v>51963</v>
      </c>
    </row>
    <row r="113" spans="2:10" ht="409.5">
      <c r="B113" s="35" t="s">
        <v>572</v>
      </c>
      <c r="C113" s="118">
        <f>'rekst - sjóðstr - efnah - aðals'!C112+'rekst - sjóðstr - efnah - eigna'!C113+'rekst - sjóðstr - efnah - faste'!C113+'rekst - sjóðstr - efnah - Byggð'!C113+'rekst - sjóðstr - efnah - milli'!C113</f>
        <v>1238</v>
      </c>
      <c r="D113" s="67">
        <f>'rekst - sjóðstr - efnah - aðals'!D112+'rekst - sjóðstr - efnah - eigna'!D113+'rekst - sjóðstr - efnah - faste'!D113+'rekst - sjóðstr - efnah - Byggð'!D113+'rekst - sjóðstr - efnah - milli'!D104</f>
        <v>90433</v>
      </c>
      <c r="E113" s="125">
        <f t="shared" si="16"/>
        <v>91671</v>
      </c>
      <c r="G113" s="118">
        <f t="shared" si="17"/>
        <v>2634</v>
      </c>
      <c r="H113" s="67">
        <f t="shared" si="18"/>
        <v>90433</v>
      </c>
      <c r="I113" s="125">
        <f t="shared" si="19"/>
        <v>93067</v>
      </c>
      <c r="J113" s="159">
        <f>2634-C113</f>
        <v>1396</v>
      </c>
    </row>
    <row r="114" spans="2:10" ht="409.5">
      <c r="B114" s="35" t="s">
        <v>573</v>
      </c>
      <c r="C114" s="118">
        <f>'rekst - sjóðstr - efnah - aðals'!C113+'rekst - sjóðstr - efnah - eigna'!C114+'rekst - sjóðstr - efnah - faste'!C114+'rekst - sjóðstr - efnah - Byggð'!C114+'rekst - sjóðstr - efnah - milli'!C114</f>
        <v>74491</v>
      </c>
      <c r="D114" s="67">
        <f>'rekst - sjóðstr - efnah - aðals'!D113+'rekst - sjóðstr - efnah - eigna'!D114+'rekst - sjóðstr - efnah - faste'!D114+'rekst - sjóðstr - efnah - Byggð'!D114+'rekst - sjóðstr - efnah - milli'!D105</f>
        <v>0</v>
      </c>
      <c r="E114" s="125">
        <f t="shared" si="16"/>
        <v>74491</v>
      </c>
      <c r="G114" s="118">
        <f t="shared" si="17"/>
        <v>101720</v>
      </c>
      <c r="H114" s="67">
        <f t="shared" si="18"/>
        <v>0</v>
      </c>
      <c r="I114" s="125">
        <f t="shared" si="19"/>
        <v>101720</v>
      </c>
      <c r="J114" s="159">
        <f>101720-C114</f>
        <v>27229</v>
      </c>
    </row>
    <row r="115" spans="2:10" ht="409.5">
      <c r="B115" s="35" t="s">
        <v>574</v>
      </c>
      <c r="C115" s="118">
        <f>'rekst - sjóðstr - efnah - aðals'!C114+'rekst - sjóðstr - efnah - eigna'!C115+'rekst - sjóðstr - efnah - faste'!C115+'rekst - sjóðstr - efnah - Byggð'!C115+'rekst - sjóðstr - efnah - milli'!C115</f>
        <v>70585</v>
      </c>
      <c r="D115" s="67">
        <f>'rekst - sjóðstr - efnah - aðals'!D114+'rekst - sjóðstr - efnah - eigna'!D115+'rekst - sjóðstr - efnah - faste'!D115+'rekst - sjóðstr - efnah - Byggð'!D115+'rekst - sjóðstr - efnah - milli'!D106</f>
        <v>0</v>
      </c>
      <c r="E115" s="125">
        <f t="shared" si="16"/>
        <v>70585</v>
      </c>
      <c r="G115" s="118">
        <f t="shared" si="17"/>
        <v>61228</v>
      </c>
      <c r="H115" s="67">
        <f t="shared" si="18"/>
        <v>0</v>
      </c>
      <c r="I115" s="125">
        <f t="shared" si="19"/>
        <v>61228</v>
      </c>
      <c r="J115" s="159">
        <f>61228-C115</f>
        <v>-9357</v>
      </c>
    </row>
    <row r="116" spans="2:10" ht="409.5">
      <c r="B116" s="35" t="s">
        <v>575</v>
      </c>
      <c r="C116" s="118">
        <f>'rekst - sjóðstr - efnah - aðals'!C115+'rekst - sjóðstr - efnah - eigna'!C116+'rekst - sjóðstr - efnah - faste'!C116+'rekst - sjóðstr - efnah - Byggð'!C116+'rekst - sjóðstr - efnah - milli'!C116</f>
        <v>0</v>
      </c>
      <c r="D116" s="67">
        <f>'rekst - sjóðstr - efnah - aðals'!D115+'rekst - sjóðstr - efnah - eigna'!D116+'rekst - sjóðstr - efnah - faste'!D116+'rekst - sjóðstr - efnah - Byggð'!D116+'rekst - sjóðstr - efnah - milli'!D107</f>
        <v>0</v>
      </c>
      <c r="E116" s="125">
        <f t="shared" si="16"/>
        <v>0</v>
      </c>
      <c r="G116" s="118">
        <f t="shared" si="17"/>
        <v>0</v>
      </c>
      <c r="H116" s="67">
        <f t="shared" si="18"/>
        <v>0</v>
      </c>
      <c r="I116" s="125">
        <f t="shared" si="19"/>
        <v>0</v>
      </c>
      <c r="J116" s="159">
        <v>0</v>
      </c>
    </row>
    <row r="117" spans="2:10" ht="409.5">
      <c r="B117" s="35" t="s">
        <v>576</v>
      </c>
      <c r="C117" s="118">
        <f>'rekst - sjóðstr - efnah - aðals'!C116+'rekst - sjóðstr - efnah - eigna'!C117+'rekst - sjóðstr - efnah - faste'!C117+'rekst - sjóðstr - efnah - Byggð'!C117+'rekst - sjóðstr - efnah - milli'!C117</f>
        <v>0</v>
      </c>
      <c r="D117" s="67">
        <f>'rekst - sjóðstr - efnah - aðals'!D116+'rekst - sjóðstr - efnah - eigna'!D117+'rekst - sjóðstr - efnah - faste'!D117+'rekst - sjóðstr - efnah - Byggð'!D117+'rekst - sjóðstr - efnah - milli'!D108</f>
        <v>0</v>
      </c>
      <c r="E117" s="125">
        <f t="shared" si="16"/>
        <v>0</v>
      </c>
      <c r="G117" s="118">
        <f t="shared" si="17"/>
        <v>0</v>
      </c>
      <c r="H117" s="67">
        <f t="shared" si="18"/>
        <v>0</v>
      </c>
      <c r="I117" s="125">
        <f t="shared" si="19"/>
        <v>0</v>
      </c>
      <c r="J117" s="159">
        <v>0</v>
      </c>
    </row>
    <row r="118" spans="2:10" ht="409.5">
      <c r="B118" s="35" t="s">
        <v>577</v>
      </c>
      <c r="C118" s="118">
        <f>'rekst - sjóðstr - efnah - aðals'!C117+'rekst - sjóðstr - efnah - eigna'!C118+'rekst - sjóðstr - efnah - faste'!C118+'rekst - sjóðstr - efnah - Byggð'!C118+'rekst - sjóðstr - efnah - milli'!C118</f>
        <v>0</v>
      </c>
      <c r="D118" s="67">
        <f>'rekst - sjóðstr - efnah - aðals'!D117+'rekst - sjóðstr - efnah - eigna'!D118+'rekst - sjóðstr - efnah - faste'!D118+'rekst - sjóðstr - efnah - Byggð'!D118+'rekst - sjóðstr - efnah - milli'!D109</f>
        <v>0</v>
      </c>
      <c r="E118" s="125">
        <f t="shared" si="16"/>
        <v>0</v>
      </c>
      <c r="G118" s="118">
        <f t="shared" si="17"/>
        <v>0</v>
      </c>
      <c r="H118" s="67">
        <f t="shared" si="18"/>
        <v>0</v>
      </c>
      <c r="I118" s="125">
        <f t="shared" si="19"/>
        <v>0</v>
      </c>
      <c r="J118" s="159">
        <v>0</v>
      </c>
    </row>
    <row r="119" spans="2:10" ht="409.5">
      <c r="B119" s="35" t="s">
        <v>41</v>
      </c>
      <c r="C119" s="118">
        <f>C86</f>
        <v>416045</v>
      </c>
      <c r="D119" s="67">
        <f>'rekst - sjóðstr - efnah - aðals'!D118+'rekst - sjóðstr - efnah - eigna'!D119+'rekst - sjóðstr - efnah - faste'!D119+'rekst - sjóðstr - efnah - Byggð'!D119+'rekst - sjóðstr - efnah - milli'!D110</f>
        <v>-148590.94799999997</v>
      </c>
      <c r="E119" s="118">
        <f>E86</f>
        <v>267454.052</v>
      </c>
      <c r="G119" s="118">
        <f>C119+J119</f>
        <v>717788</v>
      </c>
      <c r="H119" s="44">
        <f>D119</f>
        <v>-148590.94799999997</v>
      </c>
      <c r="I119" s="118">
        <f>G119+H119</f>
        <v>569197.052</v>
      </c>
      <c r="J119" s="159">
        <f>J85</f>
        <v>301743</v>
      </c>
    </row>
    <row r="120" spans="2:10" ht="409.5">
      <c r="B120" s="30" t="s">
        <v>569</v>
      </c>
      <c r="C120" s="120">
        <f>SUM(C111:C119)</f>
        <v>1026688</v>
      </c>
      <c r="D120" s="40">
        <f>SUM(D111:D119)</f>
        <v>-58157.947999999975</v>
      </c>
      <c r="E120" s="120">
        <f>SUM(E111:E119)</f>
        <v>968530.052</v>
      </c>
      <c r="G120" s="120">
        <f>SUM(G111:G119)</f>
        <v>1399737</v>
      </c>
      <c r="H120" s="40">
        <f>SUM(H111:H119)</f>
        <v>-58157.947999999975</v>
      </c>
      <c r="I120" s="120">
        <f>SUM(I111:I119)</f>
        <v>1341579.0520000001</v>
      </c>
      <c r="J120" s="160">
        <f>SUM(J111:J119)</f>
        <v>373049</v>
      </c>
    </row>
    <row r="121" spans="2:10" ht="409.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11942510</v>
      </c>
      <c r="D122" s="128">
        <f>D109+D120</f>
        <v>90433.00000000003</v>
      </c>
      <c r="E122" s="127">
        <f>E109+E120</f>
        <v>12032942.999999998</v>
      </c>
      <c r="G122" s="127">
        <f>G109+G120</f>
        <v>11984811</v>
      </c>
      <c r="H122" s="128">
        <f>H109+H120</f>
        <v>90433.00000000003</v>
      </c>
      <c r="I122" s="127">
        <f>I109+I120</f>
        <v>12075244</v>
      </c>
      <c r="J122" s="161">
        <f>J109+J120</f>
        <v>42301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409.5">
      <c r="B125" s="41"/>
      <c r="C125" s="41"/>
      <c r="G125" s="41"/>
      <c r="J125" s="67"/>
    </row>
    <row r="126" spans="2:10" s="1" customFormat="1" ht="409.5">
      <c r="B126" s="41"/>
      <c r="C126" s="41"/>
      <c r="G126" s="41"/>
      <c r="J126" s="67"/>
    </row>
    <row r="127" spans="2:10" s="1" customFormat="1" ht="409.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409.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409.5">
      <c r="B130" s="66"/>
      <c r="C130" s="28" t="s">
        <v>14</v>
      </c>
      <c r="D130" s="29" t="s">
        <v>14</v>
      </c>
      <c r="E130" s="28" t="s">
        <v>14</v>
      </c>
      <c r="G130" s="28" t="s">
        <v>14</v>
      </c>
      <c r="H130" s="29" t="s">
        <v>14</v>
      </c>
      <c r="I130" s="28" t="s">
        <v>14</v>
      </c>
      <c r="J130" s="157" t="s">
        <v>14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714</v>
      </c>
      <c r="I131" s="116" t="s">
        <v>501</v>
      </c>
      <c r="J131" s="158" t="s">
        <v>1488</v>
      </c>
    </row>
    <row r="132" spans="2:10" ht="409.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409.5">
      <c r="B133" s="35" t="s">
        <v>581</v>
      </c>
      <c r="C133" s="118">
        <f>'rekst - sjóðstr - efnah - aðals'!C132+'rekst - sjóðstr - efnah - eigna'!C133+'rekst - sjóðstr - efnah - faste'!C133+'rekst - sjóðstr - efnah - Byggð'!C133+'rekst - sjóðstr - efnah - milli'!C133</f>
        <v>6721172</v>
      </c>
      <c r="D133" s="67">
        <f>'rekst - sjóðstr - efnah - aðals'!D132+'rekst - sjóðstr - efnah - eigna'!D133+'rekst - sjóðstr - efnah - faste'!D133+'rekst - sjóðstr - efnah - Byggð'!D133+'rekst - sjóðstr - efnah - milli'!D133</f>
        <v>-1.8189894035458565E-12</v>
      </c>
      <c r="E133" s="125">
        <f>C133+D133</f>
        <v>6721172</v>
      </c>
      <c r="G133" s="118">
        <f>C133+J133</f>
        <v>6717118</v>
      </c>
      <c r="H133" s="67">
        <f>H45</f>
        <v>0</v>
      </c>
      <c r="I133" s="125">
        <f>G133+H133</f>
        <v>6717118</v>
      </c>
      <c r="J133" s="159">
        <f>6717118-C133</f>
        <v>-4054</v>
      </c>
    </row>
    <row r="134" spans="2:10" ht="409.5">
      <c r="B134" s="35" t="s">
        <v>582</v>
      </c>
      <c r="C134" s="118">
        <f>'rekst - sjóðstr - efnah - aðals'!C133+'rekst - sjóðstr - efnah - eigna'!C134+'rekst - sjóðstr - efnah - faste'!C134+'rekst - sjóðstr - efnah - Byggð'!C134+'rekst - sjóðstr - efnah - milli'!C134</f>
        <v>3100</v>
      </c>
      <c r="D134" s="67">
        <f>'rekst - sjóðstr - efnah - aðals'!D133+'rekst - sjóðstr - efnah - eigna'!D134+'rekst - sjóðstr - efnah - faste'!D134+'rekst - sjóðstr - efnah - Byggð'!D134+'rekst - sjóðstr - efnah - milli'!D134</f>
        <v>0</v>
      </c>
      <c r="E134" s="125">
        <f>C134+D134</f>
        <v>3100</v>
      </c>
      <c r="G134" s="118">
        <f>C134+J134</f>
        <v>2668</v>
      </c>
      <c r="H134" s="67">
        <f>D134</f>
        <v>0</v>
      </c>
      <c r="I134" s="125">
        <f>G134+H134</f>
        <v>2668</v>
      </c>
      <c r="J134" s="159">
        <f>2668-C134</f>
        <v>-432</v>
      </c>
    </row>
    <row r="135" spans="2:10" ht="409.5">
      <c r="B135" s="35" t="s">
        <v>583</v>
      </c>
      <c r="C135" s="118">
        <f>'rekst - sjóðstr - efnah - aðals'!C134+'rekst - sjóðstr - efnah - eigna'!C135+'rekst - sjóðstr - efnah - faste'!C135+'rekst - sjóðstr - efnah - Byggð'!C135+'rekst - sjóðstr - efnah - milli'!C135</f>
        <v>0</v>
      </c>
      <c r="D135" s="67">
        <f>'rekst - sjóðstr - efnah - aðals'!D134+'rekst - sjóðstr - efnah - eigna'!D135+'rekst - sjóðstr - efnah - faste'!D135+'rekst - sjóðstr - efnah - Byggð'!D135+'rekst - sjóðstr - efnah - milli'!D135</f>
        <v>0</v>
      </c>
      <c r="E135" s="125">
        <f>C135+D135</f>
        <v>0</v>
      </c>
      <c r="G135" s="118">
        <f>C135+J135</f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409.5">
      <c r="B136" s="30" t="s">
        <v>580</v>
      </c>
      <c r="C136" s="120">
        <f>SUM(C133:C135)</f>
        <v>6724272</v>
      </c>
      <c r="D136" s="40">
        <f>SUM(D133:D135)</f>
        <v>-1.8189894035458565E-12</v>
      </c>
      <c r="E136" s="120">
        <f>SUM(E133:E135)</f>
        <v>6724272</v>
      </c>
      <c r="G136" s="120">
        <f>SUM(G133:G135)</f>
        <v>6719786</v>
      </c>
      <c r="H136" s="40">
        <f>SUM(H133:H135)</f>
        <v>0</v>
      </c>
      <c r="I136" s="120">
        <f>SUM(I133:I135)</f>
        <v>6719786</v>
      </c>
      <c r="J136" s="160">
        <f>SUM(J133:J135)</f>
        <v>-4486</v>
      </c>
    </row>
    <row r="137" spans="2:10" ht="409.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409.5">
      <c r="B138" s="35" t="s">
        <v>585</v>
      </c>
      <c r="C138" s="118">
        <f>'rekst - sjóðstr - efnah - aðals'!C137+'rekst - sjóðstr - efnah - eigna'!C138+'rekst - sjóðstr - efnah - faste'!C138+'rekst - sjóðstr - efnah - Byggð'!C138+'rekst - sjóðstr - efnah - milli'!C138</f>
        <v>3238297</v>
      </c>
      <c r="D138" s="67">
        <f>'rekst - sjóðstr - efnah - aðals'!D137+'rekst - sjóðstr - efnah - eigna'!D138+'rekst - sjóðstr - efnah - faste'!D138+'rekst - sjóðstr - efnah - Byggð'!D138+'rekst - sjóðstr - efnah - milli'!D138</f>
        <v>0</v>
      </c>
      <c r="E138" s="125">
        <f>C138+D138</f>
        <v>3238297</v>
      </c>
      <c r="G138" s="118">
        <f>C138+J138</f>
        <v>3418316</v>
      </c>
      <c r="H138" s="67">
        <f>H50</f>
        <v>0</v>
      </c>
      <c r="I138" s="125">
        <f>G138+H138</f>
        <v>3418316</v>
      </c>
      <c r="J138" s="159">
        <f>3418316-C138</f>
        <v>180019</v>
      </c>
    </row>
    <row r="139" spans="2:10" ht="409.5">
      <c r="B139" s="35" t="s">
        <v>586</v>
      </c>
      <c r="C139" s="118">
        <f>'rekst - sjóðstr - efnah - aðals'!C138+'rekst - sjóðstr - efnah - eigna'!C139+'rekst - sjóðstr - efnah - faste'!C139+'rekst - sjóðstr - efnah - Byggð'!C139+'rekst - sjóðstr - efnah - milli'!C139</f>
        <v>0</v>
      </c>
      <c r="D139" s="67">
        <f>'rekst - sjóðstr - efnah - aðals'!D138+'rekst - sjóðstr - efnah - eigna'!D139+'rekst - sjóðstr - efnah - faste'!D139+'rekst - sjóðstr - efnah - Byggð'!D139+'rekst - sjóðstr - efnah - milli'!D139</f>
        <v>0</v>
      </c>
      <c r="E139" s="125">
        <f>C139+D139</f>
        <v>0</v>
      </c>
      <c r="G139" s="118">
        <f>C139+J139</f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409.5">
      <c r="B140" s="30" t="s">
        <v>584</v>
      </c>
      <c r="C140" s="120">
        <f>SUM(C138:C139)</f>
        <v>3238297</v>
      </c>
      <c r="D140" s="40">
        <f>SUM(D138:D139)</f>
        <v>0</v>
      </c>
      <c r="E140" s="120">
        <f>SUM(E138:E139)</f>
        <v>3238297</v>
      </c>
      <c r="G140" s="120">
        <f>SUM(G138:G139)</f>
        <v>3418316</v>
      </c>
      <c r="H140" s="40">
        <f>SUM(H138:H139)</f>
        <v>0</v>
      </c>
      <c r="I140" s="120">
        <f>SUM(I138:I139)</f>
        <v>3418316</v>
      </c>
      <c r="J140" s="160">
        <f>SUM(J138:J139)</f>
        <v>180019</v>
      </c>
    </row>
    <row r="141" spans="2:10" ht="409.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409.5">
      <c r="B142" s="35" t="s">
        <v>588</v>
      </c>
      <c r="C142" s="118">
        <f>'rekst - sjóðstr - efnah - aðals'!C141+'rekst - sjóðstr - efnah - eigna'!C142+'rekst - sjóðstr - efnah - faste'!C142+'rekst - sjóðstr - efnah - Byggð'!C142+'rekst - sjóðstr - efnah - milli'!C142</f>
        <v>1035273</v>
      </c>
      <c r="D142" s="67">
        <f>'rekst - sjóðstr - efnah - aðals'!D141+'rekst - sjóðstr - efnah - eigna'!D142+'rekst - sjóðstr - efnah - faste'!D142+'rekst - sjóðstr - efnah - Byggð'!D142+'rekst - sjóðstr - efnah - milli'!D142</f>
        <v>0</v>
      </c>
      <c r="E142" s="125">
        <f>C142+D142</f>
        <v>1035273</v>
      </c>
      <c r="G142" s="118">
        <f>C142+J142</f>
        <v>1188994</v>
      </c>
      <c r="H142" s="1">
        <f>D142</f>
        <v>0</v>
      </c>
      <c r="I142" s="125">
        <f>G142+H142</f>
        <v>1188994</v>
      </c>
      <c r="J142" s="159">
        <f>1188994-C142</f>
        <v>153721</v>
      </c>
    </row>
    <row r="143" spans="2:10" ht="409.5">
      <c r="B143" s="35" t="s">
        <v>589</v>
      </c>
      <c r="C143" s="118">
        <f>'rekst - sjóðstr - efnah - aðals'!C142+'rekst - sjóðstr - efnah - eigna'!C143+'rekst - sjóðstr - efnah - faste'!C143+'rekst - sjóðstr - efnah - Byggð'!C143+'rekst - sjóðstr - efnah - milli'!C143</f>
        <v>0</v>
      </c>
      <c r="D143" s="1">
        <f>'rekst - sjóðstr - efnah - aðals'!D142+'rekst - sjóðstr - efnah - eigna'!D143+'rekst - sjóðstr - efnah - faste'!D143+'rekst - sjóðstr - efnah - Byggð'!D143+'rekst - sjóðstr - efnah - milli'!D143</f>
        <v>0</v>
      </c>
      <c r="E143" s="125">
        <f>C143+D143</f>
        <v>0</v>
      </c>
      <c r="G143" s="118">
        <f>C143+J143</f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409.5">
      <c r="B144" s="35" t="s">
        <v>590</v>
      </c>
      <c r="C144" s="118">
        <f>'rekst - sjóðstr - efnah - aðals'!C143+'rekst - sjóðstr - efnah - eigna'!C144+'rekst - sjóðstr - efnah - faste'!C144+'rekst - sjóðstr - efnah - Byggð'!C144+'rekst - sjóðstr - efnah - milli'!C144</f>
        <v>0</v>
      </c>
      <c r="D144" s="1">
        <f>'rekst - sjóðstr - efnah - aðals'!D143+'rekst - sjóðstr - efnah - eigna'!D144+'rekst - sjóðstr - efnah - faste'!D144+'rekst - sjóðstr - efnah - Byggð'!D144+'rekst - sjóðstr - efnah - milli'!D144</f>
        <v>0</v>
      </c>
      <c r="E144" s="125">
        <f>C144+D144</f>
        <v>0</v>
      </c>
      <c r="G144" s="118">
        <f>C144+J144</f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409.5">
      <c r="B145" s="35" t="s">
        <v>591</v>
      </c>
      <c r="C145" s="118">
        <f>'rekst - sjóðstr - efnah - aðals'!C144+'rekst - sjóðstr - efnah - eigna'!C145+'rekst - sjóðstr - efnah - faste'!C145+'rekst - sjóðstr - efnah - Byggð'!C145+'rekst - sjóðstr - efnah - milli'!C145</f>
        <v>0</v>
      </c>
      <c r="D145" s="1">
        <f>'rekst - sjóðstr - efnah - aðals'!D144+'rekst - sjóðstr - efnah - eigna'!D145+'rekst - sjóðstr - efnah - faste'!D145+'rekst - sjóðstr - efnah - Byggð'!D145+'rekst - sjóðstr - efnah - milli'!D145</f>
        <v>0</v>
      </c>
      <c r="E145" s="125">
        <f>C145+D145</f>
        <v>0</v>
      </c>
      <c r="G145" s="118">
        <f>C145+J145</f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409.5">
      <c r="B146" s="30" t="s">
        <v>587</v>
      </c>
      <c r="C146" s="120">
        <f>SUM(C142:C145)</f>
        <v>1035273</v>
      </c>
      <c r="D146" s="40">
        <f>SUM(D142:D145)</f>
        <v>0</v>
      </c>
      <c r="E146" s="120">
        <f>SUM(E142:E145)</f>
        <v>1035273</v>
      </c>
      <c r="G146" s="120">
        <f>SUM(G142:G145)</f>
        <v>1188994</v>
      </c>
      <c r="H146" s="40">
        <f>SUM(H142:H145)</f>
        <v>0</v>
      </c>
      <c r="I146" s="120">
        <f>SUM(I142:I145)</f>
        <v>1188994</v>
      </c>
      <c r="J146" s="160">
        <f>SUM(J142:J145)</f>
        <v>153721</v>
      </c>
    </row>
    <row r="147" spans="2:10" ht="409.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409.5">
      <c r="B148" s="35" t="s">
        <v>588</v>
      </c>
      <c r="C148" s="118">
        <f>'rekst - sjóðstr - efnah - aðals'!C147+'rekst - sjóðstr - efnah - eigna'!C148+'rekst - sjóðstr - efnah - faste'!C148+'rekst - sjóðstr - efnah - Byggð'!C148+'rekst - sjóðstr - efnah - milli'!C148</f>
        <v>0</v>
      </c>
      <c r="D148" s="1">
        <f>'rekst - sjóðstr - efnah - aðals'!D147+'rekst - sjóðstr - efnah - eigna'!D148+'rekst - sjóðstr - efnah - faste'!D148+'rekst - sjóðstr - efnah - Byggð'!D148+'rekst - sjóðstr - efnah - milli'!D148</f>
        <v>0</v>
      </c>
      <c r="E148" s="125">
        <f>C148+D148</f>
        <v>0</v>
      </c>
      <c r="G148" s="118">
        <f>C148+J148</f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409.5">
      <c r="B149" s="35" t="s">
        <v>593</v>
      </c>
      <c r="C149" s="118">
        <f>'rekst - sjóðstr - efnah - aðals'!C148+'rekst - sjóðstr - efnah - eigna'!C149+'rekst - sjóðstr - efnah - faste'!C149+'rekst - sjóðstr - efnah - Byggð'!C149+'rekst - sjóðstr - efnah - milli'!C149</f>
        <v>185806</v>
      </c>
      <c r="D149" s="1">
        <f>'rekst - sjóðstr - efnah - aðals'!D148+'rekst - sjóðstr - efnah - eigna'!D149+'rekst - sjóðstr - efnah - faste'!D149+'rekst - sjóðstr - efnah - Byggð'!D149+'rekst - sjóðstr - efnah - milli'!D149</f>
        <v>0</v>
      </c>
      <c r="E149" s="125">
        <f aca="true" t="shared" si="20" ref="E149:E157">C149+D149</f>
        <v>185806</v>
      </c>
      <c r="G149" s="118">
        <f aca="true" t="shared" si="21" ref="G149:G157">C149+J149</f>
        <v>202132</v>
      </c>
      <c r="H149" s="1">
        <f aca="true" t="shared" si="22" ref="H149:H157">D149</f>
        <v>0</v>
      </c>
      <c r="I149" s="125">
        <f aca="true" t="shared" si="23" ref="I149:I157">G149+H149</f>
        <v>202132</v>
      </c>
      <c r="J149" s="159">
        <f>202132-C149</f>
        <v>16326</v>
      </c>
    </row>
    <row r="150" spans="2:10" ht="409.5">
      <c r="B150" s="35" t="s">
        <v>590</v>
      </c>
      <c r="C150" s="118">
        <f>'rekst - sjóðstr - efnah - aðals'!C149+'rekst - sjóðstr - efnah - eigna'!C150+'rekst - sjóðstr - efnah - faste'!C150+'rekst - sjóðstr - efnah - Byggð'!C150+'rekst - sjóðstr - efnah - milli'!C150</f>
        <v>0</v>
      </c>
      <c r="D150" s="67">
        <f>'rekst - sjóðstr - efnah - aðals'!D149+'rekst - sjóðstr - efnah - eigna'!D150+'rekst - sjóðstr - efnah - faste'!D150+'rekst - sjóðstr - efnah - Byggð'!D150+'rekst - sjóðstr - efnah - milli'!D150</f>
        <v>90433</v>
      </c>
      <c r="E150" s="125">
        <f t="shared" si="20"/>
        <v>90433</v>
      </c>
      <c r="G150" s="118">
        <f t="shared" si="21"/>
        <v>5223</v>
      </c>
      <c r="H150" s="1">
        <f t="shared" si="22"/>
        <v>90433</v>
      </c>
      <c r="I150" s="125">
        <f t="shared" si="23"/>
        <v>95656</v>
      </c>
      <c r="J150" s="159">
        <f>5223-C150</f>
        <v>5223</v>
      </c>
    </row>
    <row r="151" spans="2:10" ht="409.5">
      <c r="B151" s="35" t="s">
        <v>594</v>
      </c>
      <c r="C151" s="118">
        <f>'rekst - sjóðstr - efnah - aðals'!C150+'rekst - sjóðstr - efnah - eigna'!C151+'rekst - sjóðstr - efnah - faste'!C151+'rekst - sjóðstr - efnah - Byggð'!C151+'rekst - sjóðstr - efnah - milli'!C151</f>
        <v>214370</v>
      </c>
      <c r="D151" s="1">
        <f>'rekst - sjóðstr - efnah - aðals'!D150+'rekst - sjóðstr - efnah - eigna'!D151+'rekst - sjóðstr - efnah - faste'!D151+'rekst - sjóðstr - efnah - Byggð'!D151+'rekst - sjóðstr - efnah - milli'!D151</f>
        <v>0</v>
      </c>
      <c r="E151" s="125">
        <f t="shared" si="20"/>
        <v>214370</v>
      </c>
      <c r="G151" s="118">
        <f t="shared" si="21"/>
        <v>264581</v>
      </c>
      <c r="H151" s="1">
        <f t="shared" si="22"/>
        <v>0</v>
      </c>
      <c r="I151" s="125">
        <f t="shared" si="23"/>
        <v>264581</v>
      </c>
      <c r="J151" s="159">
        <f>264581-C151</f>
        <v>50211</v>
      </c>
    </row>
    <row r="152" spans="2:10" ht="409.5">
      <c r="B152" s="69" t="s">
        <v>595</v>
      </c>
      <c r="C152" s="118">
        <f>'rekst - sjóðstr - efnah - aðals'!C151+'rekst - sjóðstr - efnah - eigna'!C152+'rekst - sjóðstr - efnah - faste'!C152+'rekst - sjóðstr - efnah - Byggð'!C152+'rekst - sjóðstr - efnah - milli'!C152</f>
        <v>193932</v>
      </c>
      <c r="D152" s="1">
        <f>'rekst - sjóðstr - efnah - aðals'!D151+'rekst - sjóðstr - efnah - eigna'!D152+'rekst - sjóðstr - efnah - faste'!D152+'rekst - sjóðstr - efnah - Byggð'!D152+'rekst - sjóðstr - efnah - milli'!D152</f>
        <v>0</v>
      </c>
      <c r="E152" s="125">
        <f t="shared" si="20"/>
        <v>193932</v>
      </c>
      <c r="G152" s="118">
        <f t="shared" si="21"/>
        <v>85050</v>
      </c>
      <c r="H152" s="1">
        <f t="shared" si="22"/>
        <v>0</v>
      </c>
      <c r="I152" s="125">
        <f t="shared" si="23"/>
        <v>85050</v>
      </c>
      <c r="J152" s="159">
        <f>85050-C152</f>
        <v>-108882</v>
      </c>
    </row>
    <row r="153" spans="2:10" ht="409.5">
      <c r="B153" s="35" t="s">
        <v>596</v>
      </c>
      <c r="C153" s="118">
        <f>'rekst - sjóðstr - efnah - aðals'!C152+'rekst - sjóðstr - efnah - eigna'!C153+'rekst - sjóðstr - efnah - faste'!C153+'rekst - sjóðstr - efnah - Byggð'!C153+'rekst - sjóðstr - efnah - milli'!C153</f>
        <v>0</v>
      </c>
      <c r="D153" s="1">
        <f>'rekst - sjóðstr - efnah - aðals'!D152+'rekst - sjóðstr - efnah - eigna'!D153+'rekst - sjóðstr - efnah - faste'!D153+'rekst - sjóðstr - efnah - Byggð'!D153+'rekst - sjóðstr - efnah - milli'!D153</f>
        <v>0</v>
      </c>
      <c r="E153" s="125">
        <f t="shared" si="20"/>
        <v>0</v>
      </c>
      <c r="G153" s="118">
        <f t="shared" si="21"/>
        <v>0</v>
      </c>
      <c r="H153" s="1">
        <f t="shared" si="22"/>
        <v>0</v>
      </c>
      <c r="I153" s="125">
        <f t="shared" si="23"/>
        <v>0</v>
      </c>
      <c r="J153" s="159">
        <v>0</v>
      </c>
    </row>
    <row r="154" spans="2:10" ht="409.5">
      <c r="B154" s="35" t="s">
        <v>597</v>
      </c>
      <c r="C154" s="118">
        <f>'rekst - sjóðstr - efnah - aðals'!C153+'rekst - sjóðstr - efnah - eigna'!C154+'rekst - sjóðstr - efnah - faste'!C154+'rekst - sjóðstr - efnah - Byggð'!C154+'rekst - sjóðstr - efnah - milli'!C154</f>
        <v>0</v>
      </c>
      <c r="D154" s="1">
        <f>'rekst - sjóðstr - efnah - aðals'!D153+'rekst - sjóðstr - efnah - eigna'!D154+'rekst - sjóðstr - efnah - faste'!D154+'rekst - sjóðstr - efnah - Byggð'!D154+'rekst - sjóðstr - efnah - milli'!D154</f>
        <v>0</v>
      </c>
      <c r="E154" s="125">
        <f t="shared" si="20"/>
        <v>0</v>
      </c>
      <c r="G154" s="118">
        <f t="shared" si="21"/>
        <v>0</v>
      </c>
      <c r="H154" s="1">
        <f t="shared" si="22"/>
        <v>0</v>
      </c>
      <c r="I154" s="125">
        <f t="shared" si="23"/>
        <v>0</v>
      </c>
      <c r="J154" s="159">
        <v>0</v>
      </c>
    </row>
    <row r="155" spans="2:10" ht="409.5">
      <c r="B155" s="35" t="s">
        <v>598</v>
      </c>
      <c r="C155" s="118">
        <f>'rekst - sjóðstr - efnah - aðals'!C154+'rekst - sjóðstr - efnah - eigna'!C155+'rekst - sjóðstr - efnah - faste'!C155+'rekst - sjóðstr - efnah - Byggð'!C155+'rekst - sjóðstr - efnah - milli'!C155</f>
        <v>0</v>
      </c>
      <c r="D155" s="1">
        <f>'rekst - sjóðstr - efnah - aðals'!D154+'rekst - sjóðstr - efnah - eigna'!D155+'rekst - sjóðstr - efnah - faste'!D155+'rekst - sjóðstr - efnah - Byggð'!D155+'rekst - sjóðstr - efnah - milli'!D155</f>
        <v>0</v>
      </c>
      <c r="E155" s="125">
        <f t="shared" si="20"/>
        <v>0</v>
      </c>
      <c r="G155" s="118">
        <f t="shared" si="21"/>
        <v>0</v>
      </c>
      <c r="H155" s="1">
        <f t="shared" si="22"/>
        <v>0</v>
      </c>
      <c r="I155" s="125">
        <f t="shared" si="23"/>
        <v>0</v>
      </c>
      <c r="J155" s="159">
        <v>0</v>
      </c>
    </row>
    <row r="156" spans="2:10" ht="409.5">
      <c r="B156" s="35" t="s">
        <v>599</v>
      </c>
      <c r="C156" s="118">
        <f>'rekst - sjóðstr - efnah - aðals'!C155+'rekst - sjóðstr - efnah - eigna'!C156+'rekst - sjóðstr - efnah - faste'!C156+'rekst - sjóðstr - efnah - Byggð'!C156+'rekst - sjóðstr - efnah - milli'!C156</f>
        <v>350560</v>
      </c>
      <c r="D156" s="1">
        <f>'rekst - sjóðstr - efnah - aðals'!D155+'rekst - sjóðstr - efnah - eigna'!D156+'rekst - sjóðstr - efnah - faste'!D156+'rekst - sjóðstr - efnah - Byggð'!D156+'rekst - sjóðstr - efnah - milli'!D156</f>
        <v>0</v>
      </c>
      <c r="E156" s="125">
        <f t="shared" si="20"/>
        <v>350560</v>
      </c>
      <c r="G156" s="118">
        <f t="shared" si="21"/>
        <v>382200</v>
      </c>
      <c r="H156" s="1">
        <f t="shared" si="22"/>
        <v>0</v>
      </c>
      <c r="I156" s="125">
        <f t="shared" si="23"/>
        <v>382200</v>
      </c>
      <c r="J156" s="159">
        <f>382200-C156</f>
        <v>31640</v>
      </c>
    </row>
    <row r="157" spans="2:10" ht="409.5">
      <c r="B157" s="35" t="s">
        <v>600</v>
      </c>
      <c r="C157" s="118">
        <f>'rekst - sjóðstr - efnah - aðals'!C156+'rekst - sjóðstr - efnah - eigna'!C157+'rekst - sjóðstr - efnah - faste'!C157+'rekst - sjóðstr - efnah - Byggð'!C157+'rekst - sjóðstr - efnah - milli'!C157</f>
        <v>0</v>
      </c>
      <c r="D157" s="1">
        <f>'rekst - sjóðstr - efnah - aðals'!D156+'rekst - sjóðstr - efnah - eigna'!D157+'rekst - sjóðstr - efnah - faste'!D157+'rekst - sjóðstr - efnah - Byggð'!D157+'rekst - sjóðstr - efnah - milli'!D157</f>
        <v>0</v>
      </c>
      <c r="E157" s="125">
        <f t="shared" si="20"/>
        <v>0</v>
      </c>
      <c r="G157" s="118">
        <f t="shared" si="21"/>
        <v>0</v>
      </c>
      <c r="H157" s="1">
        <f t="shared" si="22"/>
        <v>0</v>
      </c>
      <c r="I157" s="125">
        <f t="shared" si="23"/>
        <v>0</v>
      </c>
      <c r="J157" s="159">
        <v>0</v>
      </c>
    </row>
    <row r="158" spans="2:10" ht="409.5">
      <c r="B158" s="30" t="s">
        <v>592</v>
      </c>
      <c r="C158" s="120">
        <f>SUM(C148:C157)</f>
        <v>944668</v>
      </c>
      <c r="D158" s="40">
        <f>SUM(D148:D157)</f>
        <v>90433</v>
      </c>
      <c r="E158" s="120">
        <f>SUM(E148:E157)</f>
        <v>1035101</v>
      </c>
      <c r="G158" s="120">
        <f>SUM(G148:G157)</f>
        <v>939186</v>
      </c>
      <c r="H158" s="40">
        <f>SUM(H148:H157)</f>
        <v>90433</v>
      </c>
      <c r="I158" s="120">
        <f>SUM(I148:I157)</f>
        <v>1029619</v>
      </c>
      <c r="J158" s="160">
        <f>SUM(J148:J157)</f>
        <v>-5482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5218238</v>
      </c>
      <c r="D160" s="40">
        <f>D140+D146+D158</f>
        <v>90433</v>
      </c>
      <c r="E160" s="120">
        <f>E140+E146+E158</f>
        <v>5308671</v>
      </c>
      <c r="G160" s="120">
        <f>G140+G146+G158</f>
        <v>5546496</v>
      </c>
      <c r="H160" s="40">
        <f>H140+H146+H158</f>
        <v>90433</v>
      </c>
      <c r="I160" s="120">
        <f>I140+I146+I158</f>
        <v>5636929</v>
      </c>
      <c r="J160" s="160">
        <f>J140+J146+J158</f>
        <v>328258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11942510</v>
      </c>
      <c r="D162" s="127">
        <f>D136+D160</f>
        <v>90433</v>
      </c>
      <c r="E162" s="127">
        <f>E136+E160</f>
        <v>12032943</v>
      </c>
      <c r="G162" s="127">
        <f>G136+G160</f>
        <v>12266282</v>
      </c>
      <c r="H162" s="128">
        <f>H136+H160</f>
        <v>90433</v>
      </c>
      <c r="I162" s="127">
        <f>I136+I160</f>
        <v>12356715</v>
      </c>
      <c r="J162" s="161">
        <f>J136+J160</f>
        <v>323772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-281471</v>
      </c>
      <c r="H165" s="67">
        <f>H122-H162</f>
        <v>0</v>
      </c>
      <c r="I165" s="3">
        <f>I122-I162</f>
        <v>-281471</v>
      </c>
      <c r="J165" s="3">
        <f>J122-J162</f>
        <v>-281471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65"/>
  <sheetViews>
    <sheetView zoomScalePageLayoutView="0" workbookViewId="0" topLeftCell="A130">
      <selection activeCell="D132" sqref="D132"/>
    </sheetView>
  </sheetViews>
  <sheetFormatPr defaultColWidth="9.140625" defaultRowHeight="12.75" outlineLevelRow="1" outlineLevelCol="1"/>
  <cols>
    <col min="1" max="1" width="3.28125" style="0" customWidth="1"/>
    <col min="2" max="2" width="53.140625" style="0" bestFit="1" customWidth="1"/>
    <col min="3" max="3" width="10.140625" style="0" bestFit="1" customWidth="1"/>
    <col min="4" max="4" width="9.28125" style="0" bestFit="1" customWidth="1"/>
    <col min="5" max="5" width="14.28125" style="0" bestFit="1" customWidth="1"/>
    <col min="6" max="6" width="2.28125" style="0" customWidth="1"/>
    <col min="7" max="7" width="10.140625" style="0" hidden="1" customWidth="1" outlineLevel="1"/>
    <col min="8" max="8" width="8.8515625" style="0" hidden="1" customWidth="1" outlineLevel="1"/>
    <col min="9" max="9" width="14.28125" style="0" hidden="1" customWidth="1" outlineLevel="1"/>
    <col min="10" max="10" width="9.7109375" style="0" hidden="1" customWidth="1" outlineLevel="1"/>
    <col min="11" max="11" width="9.140625" style="0" customWidth="1" collapsed="1"/>
  </cols>
  <sheetData>
    <row r="2" spans="3:9" ht="12.75">
      <c r="C2" s="114"/>
      <c r="E2" s="114"/>
      <c r="G2" s="114"/>
      <c r="I2" s="114"/>
    </row>
    <row r="3" spans="3:9" ht="30">
      <c r="C3" s="22" t="s">
        <v>493</v>
      </c>
      <c r="D3" s="115" t="s">
        <v>494</v>
      </c>
      <c r="E3" s="22" t="s">
        <v>493</v>
      </c>
      <c r="G3" s="22" t="s">
        <v>493</v>
      </c>
      <c r="H3" s="115" t="s">
        <v>495</v>
      </c>
      <c r="I3" s="22" t="s">
        <v>493</v>
      </c>
    </row>
    <row r="4" spans="3:9" ht="15">
      <c r="C4" s="24" t="s">
        <v>496</v>
      </c>
      <c r="D4" s="25" t="s">
        <v>496</v>
      </c>
      <c r="E4" s="26" t="s">
        <v>496</v>
      </c>
      <c r="G4" s="24" t="s">
        <v>496</v>
      </c>
      <c r="H4" s="25" t="s">
        <v>496</v>
      </c>
      <c r="I4" s="26" t="s">
        <v>496</v>
      </c>
    </row>
    <row r="5" spans="2:9" ht="22.5" customHeight="1">
      <c r="B5" s="27" t="s">
        <v>497</v>
      </c>
      <c r="C5" s="28" t="s">
        <v>961</v>
      </c>
      <c r="D5" s="29" t="s">
        <v>966</v>
      </c>
      <c r="E5" s="28" t="s">
        <v>966</v>
      </c>
      <c r="G5" s="28" t="s">
        <v>966</v>
      </c>
      <c r="H5" s="29" t="s">
        <v>966</v>
      </c>
      <c r="I5" s="28" t="s">
        <v>966</v>
      </c>
    </row>
    <row r="6" spans="2:9" ht="15">
      <c r="B6" s="30" t="s">
        <v>499</v>
      </c>
      <c r="C6" s="116" t="s">
        <v>500</v>
      </c>
      <c r="D6" s="117" t="s">
        <v>1596</v>
      </c>
      <c r="E6" s="116" t="s">
        <v>501</v>
      </c>
      <c r="G6" s="116" t="s">
        <v>500</v>
      </c>
      <c r="H6" s="117" t="s">
        <v>1486</v>
      </c>
      <c r="I6" s="116" t="s">
        <v>501</v>
      </c>
    </row>
    <row r="7" spans="2:9" ht="12.75">
      <c r="B7" s="33" t="s">
        <v>502</v>
      </c>
      <c r="C7" s="34"/>
      <c r="D7" s="29"/>
      <c r="E7" s="34"/>
      <c r="G7" s="34"/>
      <c r="H7" s="29"/>
      <c r="I7" s="34"/>
    </row>
    <row r="8" spans="2:9" ht="12.75">
      <c r="B8" s="35" t="s">
        <v>16</v>
      </c>
      <c r="C8" s="118">
        <v>0</v>
      </c>
      <c r="D8" s="67">
        <f>'Sundurliðun viðauka nr.2'!R1767</f>
        <v>0</v>
      </c>
      <c r="E8" s="119">
        <f>C8+D8</f>
        <v>0</v>
      </c>
      <c r="G8" s="118">
        <f aca="true" t="shared" si="0" ref="G8:H10">C8</f>
        <v>0</v>
      </c>
      <c r="H8" s="67">
        <f t="shared" si="0"/>
        <v>0</v>
      </c>
      <c r="I8" s="119">
        <f>G8+H8</f>
        <v>0</v>
      </c>
    </row>
    <row r="9" spans="2:9" ht="12.75">
      <c r="B9" s="35" t="s">
        <v>503</v>
      </c>
      <c r="C9" s="118">
        <v>0</v>
      </c>
      <c r="D9" s="67">
        <f>'Sundurliðun viðauka nr.2'!R1768</f>
        <v>0</v>
      </c>
      <c r="E9" s="119">
        <f>C9+D9</f>
        <v>0</v>
      </c>
      <c r="G9" s="118">
        <f t="shared" si="0"/>
        <v>0</v>
      </c>
      <c r="H9" s="67">
        <f t="shared" si="0"/>
        <v>0</v>
      </c>
      <c r="I9" s="119">
        <f>G9+H9</f>
        <v>0</v>
      </c>
    </row>
    <row r="10" spans="2:9" ht="12.75">
      <c r="B10" s="35" t="s">
        <v>504</v>
      </c>
      <c r="C10" s="118">
        <v>0</v>
      </c>
      <c r="D10" s="67">
        <f>'Sundurliðun viðauka nr.2'!R1769+'Sundurliðun viðauka nr.2'!R1770+'Sundurliðun viðauka nr.2'!R1772+'Sundurliðun viðauka nr.2'!R1773</f>
        <v>0</v>
      </c>
      <c r="E10" s="119">
        <f>C10+D10</f>
        <v>0</v>
      </c>
      <c r="G10" s="118">
        <f t="shared" si="0"/>
        <v>0</v>
      </c>
      <c r="H10" s="67">
        <f t="shared" si="0"/>
        <v>0</v>
      </c>
      <c r="I10" s="119">
        <f>G10+H10</f>
        <v>0</v>
      </c>
    </row>
    <row r="11" spans="2:9" ht="12.75">
      <c r="B11" s="38"/>
      <c r="C11" s="120">
        <f>SUM(C8:C10)</f>
        <v>0</v>
      </c>
      <c r="D11" s="40">
        <f>SUM(D8:D10)</f>
        <v>0</v>
      </c>
      <c r="E11" s="120">
        <f>SUM(E8:E10)</f>
        <v>0</v>
      </c>
      <c r="G11" s="120">
        <f>SUM(G8:G10)</f>
        <v>0</v>
      </c>
      <c r="H11" s="40">
        <f>SUM(H8:H10)</f>
        <v>0</v>
      </c>
      <c r="I11" s="120">
        <f>SUM(I8:I10)</f>
        <v>0</v>
      </c>
    </row>
    <row r="12" spans="2:9" ht="12.75">
      <c r="B12" s="41"/>
      <c r="C12" s="42"/>
      <c r="D12" s="67"/>
      <c r="E12" s="34"/>
      <c r="G12" s="42"/>
      <c r="H12" s="1"/>
      <c r="I12" s="34"/>
    </row>
    <row r="13" spans="2:9" ht="12.75">
      <c r="B13" s="33" t="s">
        <v>505</v>
      </c>
      <c r="C13" s="42"/>
      <c r="D13" s="67"/>
      <c r="E13" s="34"/>
      <c r="G13" s="42"/>
      <c r="H13" s="1"/>
      <c r="I13" s="34"/>
    </row>
    <row r="14" spans="2:9" ht="12.75">
      <c r="B14" s="35" t="s">
        <v>506</v>
      </c>
      <c r="C14" s="118">
        <v>0</v>
      </c>
      <c r="D14" s="67">
        <f>'Sundurliðun viðauka nr.2'!R1774</f>
        <v>0</v>
      </c>
      <c r="E14" s="119">
        <f>C14+D14</f>
        <v>0</v>
      </c>
      <c r="G14" s="118">
        <f aca="true" t="shared" si="1" ref="G14:H16">C14</f>
        <v>0</v>
      </c>
      <c r="H14" s="67">
        <f t="shared" si="1"/>
        <v>0</v>
      </c>
      <c r="I14" s="119">
        <f>G14+H14</f>
        <v>0</v>
      </c>
    </row>
    <row r="15" spans="2:9" ht="12.75">
      <c r="B15" s="35" t="s">
        <v>507</v>
      </c>
      <c r="C15" s="118">
        <v>25</v>
      </c>
      <c r="D15" s="67">
        <f>'Sundurliðun viðauka nr.2'!R1775+'Sundurliðun viðauka nr.2'!R1776+'Sundurliðun viðauka nr.2'!R1777+'Sundurliðun viðauka nr.2'!R1778+'Sundurliðun viðauka nr.2'!R1779+'Sundurliðun viðauka nr.2'!R1780+'Sundurliðun viðauka nr.2'!R1781</f>
        <v>0</v>
      </c>
      <c r="E15" s="119">
        <f>C15+D15</f>
        <v>25</v>
      </c>
      <c r="G15" s="118">
        <f t="shared" si="1"/>
        <v>25</v>
      </c>
      <c r="H15" s="67">
        <f t="shared" si="1"/>
        <v>0</v>
      </c>
      <c r="I15" s="119">
        <f>G15+H15</f>
        <v>25</v>
      </c>
    </row>
    <row r="16" spans="2:9" ht="12.75">
      <c r="B16" s="35" t="s">
        <v>508</v>
      </c>
      <c r="C16" s="118">
        <v>0</v>
      </c>
      <c r="D16" s="67">
        <f>'Sundurliðun viðauka nr.2'!R1783</f>
        <v>0</v>
      </c>
      <c r="E16" s="119">
        <f>C16+D16</f>
        <v>0</v>
      </c>
      <c r="G16" s="118">
        <f t="shared" si="1"/>
        <v>0</v>
      </c>
      <c r="H16" s="67">
        <f t="shared" si="1"/>
        <v>0</v>
      </c>
      <c r="I16" s="119">
        <f>G16+H16</f>
        <v>0</v>
      </c>
    </row>
    <row r="17" spans="2:9" ht="12.75">
      <c r="B17" s="38"/>
      <c r="C17" s="120">
        <f>SUM(C14:C16)</f>
        <v>25</v>
      </c>
      <c r="D17" s="40">
        <f>SUM(D14:D16)</f>
        <v>0</v>
      </c>
      <c r="E17" s="120">
        <f>SUM(E14:E16)</f>
        <v>25</v>
      </c>
      <c r="G17" s="120">
        <f>SUM(G14:G16)</f>
        <v>25</v>
      </c>
      <c r="H17" s="40">
        <f>SUM(H14:H16)</f>
        <v>0</v>
      </c>
      <c r="I17" s="120">
        <f>SUM(I14:I16)</f>
        <v>25</v>
      </c>
    </row>
    <row r="18" spans="2:9" ht="12.75">
      <c r="B18" s="38"/>
      <c r="C18" s="118"/>
      <c r="D18" s="67"/>
      <c r="E18" s="34"/>
      <c r="G18" s="118"/>
      <c r="H18" s="1"/>
      <c r="I18" s="34"/>
    </row>
    <row r="19" spans="2:9" ht="12.75">
      <c r="B19" s="43" t="s">
        <v>509</v>
      </c>
      <c r="C19" s="68" t="e">
        <f>(C11-C17)/C11</f>
        <v>#DIV/0!</v>
      </c>
      <c r="D19" s="71" t="s">
        <v>1</v>
      </c>
      <c r="E19" s="68" t="e">
        <f>(E11-E17)/E11</f>
        <v>#DIV/0!</v>
      </c>
      <c r="G19" s="68">
        <v>0.053954465478948936</v>
      </c>
      <c r="H19" s="71" t="s">
        <v>1</v>
      </c>
      <c r="I19" s="68">
        <v>0.054305597062716135</v>
      </c>
    </row>
    <row r="20" spans="2:9" ht="12.75">
      <c r="B20" s="35" t="s">
        <v>510</v>
      </c>
      <c r="C20" s="118">
        <v>0</v>
      </c>
      <c r="D20" s="67">
        <f>'Sundurliðun viðauka nr.2'!R1782</f>
        <v>0</v>
      </c>
      <c r="E20" s="119">
        <f>C20+D20</f>
        <v>0</v>
      </c>
      <c r="G20" s="118">
        <f>C20</f>
        <v>0</v>
      </c>
      <c r="H20" s="67">
        <f>D20</f>
        <v>0</v>
      </c>
      <c r="I20" s="119">
        <f>G20+H20</f>
        <v>0</v>
      </c>
    </row>
    <row r="21" spans="2:9" ht="12.75">
      <c r="B21" s="35" t="s">
        <v>511</v>
      </c>
      <c r="C21" s="120">
        <f>C11-C17-C20</f>
        <v>-25</v>
      </c>
      <c r="D21" s="40">
        <f>D11-D17-D20</f>
        <v>0</v>
      </c>
      <c r="E21" s="120">
        <f>E11-E17-E20</f>
        <v>-25</v>
      </c>
      <c r="G21" s="120">
        <f>G11-G17-G20</f>
        <v>-25</v>
      </c>
      <c r="H21" s="40">
        <f>H11-H17-H20</f>
        <v>0</v>
      </c>
      <c r="I21" s="120">
        <f>I11-I17-I20</f>
        <v>-25</v>
      </c>
    </row>
    <row r="22" spans="2:9" ht="12.75">
      <c r="B22" s="45"/>
      <c r="C22" s="118"/>
      <c r="D22" s="67"/>
      <c r="E22" s="34"/>
      <c r="G22" s="118"/>
      <c r="H22" s="1"/>
      <c r="I22" s="34"/>
    </row>
    <row r="23" spans="2:9" ht="12.75">
      <c r="B23" s="33" t="s">
        <v>512</v>
      </c>
      <c r="C23" s="118" t="s">
        <v>1</v>
      </c>
      <c r="D23" s="67"/>
      <c r="E23" s="34"/>
      <c r="G23" s="118"/>
      <c r="H23" s="1"/>
      <c r="I23" s="34"/>
    </row>
    <row r="24" spans="2:9" ht="12.75">
      <c r="B24" s="35" t="s">
        <v>512</v>
      </c>
      <c r="C24" s="120">
        <v>12</v>
      </c>
      <c r="D24" s="40">
        <f>'Sundurliðun viðauka nr.2'!R1784</f>
        <v>0</v>
      </c>
      <c r="E24" s="120">
        <f>C24+D24</f>
        <v>12</v>
      </c>
      <c r="G24" s="120">
        <f>C24</f>
        <v>12</v>
      </c>
      <c r="H24" s="40">
        <f>D24</f>
        <v>0</v>
      </c>
      <c r="I24" s="120">
        <f>G24+H24</f>
        <v>12</v>
      </c>
    </row>
    <row r="25" spans="2:9" ht="12.75">
      <c r="B25" s="30"/>
      <c r="C25" s="118"/>
      <c r="D25" s="67"/>
      <c r="E25" s="34"/>
      <c r="G25" s="118"/>
      <c r="H25" s="1"/>
      <c r="I25" s="34"/>
    </row>
    <row r="26" spans="2:9" ht="12.75">
      <c r="B26" s="46" t="s">
        <v>513</v>
      </c>
      <c r="C26" s="118">
        <f>C21+C24</f>
        <v>-13</v>
      </c>
      <c r="D26" s="44">
        <f>D21+D24</f>
        <v>0</v>
      </c>
      <c r="E26" s="118">
        <f>E21+E24</f>
        <v>-13</v>
      </c>
      <c r="G26" s="118">
        <f>G21+G24</f>
        <v>-13</v>
      </c>
      <c r="H26" s="44">
        <f>H21+H24</f>
        <v>0</v>
      </c>
      <c r="I26" s="118">
        <f>I21+I24</f>
        <v>-13</v>
      </c>
    </row>
    <row r="27" spans="2:9" ht="12.75">
      <c r="B27" s="35" t="s">
        <v>514</v>
      </c>
      <c r="C27" s="118">
        <v>0</v>
      </c>
      <c r="D27" s="44">
        <v>0</v>
      </c>
      <c r="E27" s="118">
        <f>C27+D27</f>
        <v>0</v>
      </c>
      <c r="G27" s="118">
        <v>0</v>
      </c>
      <c r="H27" s="44">
        <f>D27</f>
        <v>0</v>
      </c>
      <c r="I27" s="118">
        <f>G27+H27</f>
        <v>0</v>
      </c>
    </row>
    <row r="28" spans="2:9" ht="12.75">
      <c r="B28" s="35" t="s">
        <v>515</v>
      </c>
      <c r="C28" s="121">
        <v>0</v>
      </c>
      <c r="D28" s="48">
        <v>0</v>
      </c>
      <c r="E28" s="121">
        <f>C28+D28</f>
        <v>0</v>
      </c>
      <c r="G28" s="121">
        <v>0</v>
      </c>
      <c r="H28" s="48">
        <f>D28</f>
        <v>0</v>
      </c>
      <c r="I28" s="121">
        <f>G28+H28</f>
        <v>0</v>
      </c>
    </row>
    <row r="29" spans="2:9" ht="12.75">
      <c r="B29" s="46"/>
      <c r="C29" s="118">
        <f>SUM(C27:C28)</f>
        <v>0</v>
      </c>
      <c r="D29" s="44">
        <f>SUM(D27:D28)</f>
        <v>0</v>
      </c>
      <c r="E29" s="118">
        <f>SUM(E27:E28)</f>
        <v>0</v>
      </c>
      <c r="G29" s="118">
        <f>SUM(G27:G28)</f>
        <v>0</v>
      </c>
      <c r="H29" s="44">
        <f>SUM(H27:H28)</f>
        <v>0</v>
      </c>
      <c r="I29" s="118">
        <f>SUM(I27:I28)</f>
        <v>0</v>
      </c>
    </row>
    <row r="30" spans="2:9" ht="12.75">
      <c r="B30" s="46" t="s">
        <v>516</v>
      </c>
      <c r="C30" s="118">
        <f>C26+C29</f>
        <v>-13</v>
      </c>
      <c r="D30" s="44">
        <f>D26+D29</f>
        <v>0</v>
      </c>
      <c r="E30" s="118">
        <f>E26+E29</f>
        <v>-13</v>
      </c>
      <c r="G30" s="118">
        <f>G21+G24+G29</f>
        <v>-13</v>
      </c>
      <c r="H30" s="44">
        <f>H21+H24+H29</f>
        <v>0</v>
      </c>
      <c r="I30" s="118">
        <f>I21+I24+I29</f>
        <v>-13</v>
      </c>
    </row>
    <row r="31" spans="2:9" ht="12.75">
      <c r="B31" s="35" t="s">
        <v>517</v>
      </c>
      <c r="C31" s="121">
        <v>0</v>
      </c>
      <c r="D31" s="48">
        <v>0</v>
      </c>
      <c r="E31" s="121">
        <v>0</v>
      </c>
      <c r="G31" s="121">
        <v>0</v>
      </c>
      <c r="H31" s="48">
        <v>0</v>
      </c>
      <c r="I31" s="121">
        <f>G31+H31</f>
        <v>0</v>
      </c>
    </row>
    <row r="32" spans="2:9" ht="12.75">
      <c r="B32" s="49"/>
      <c r="C32" s="59" t="s">
        <v>1</v>
      </c>
      <c r="D32" s="70"/>
      <c r="E32" s="50"/>
      <c r="G32" s="50"/>
      <c r="H32" s="122"/>
      <c r="I32" s="50"/>
    </row>
    <row r="33" spans="2:9" ht="15.75" thickBot="1">
      <c r="B33" s="51" t="s">
        <v>518</v>
      </c>
      <c r="C33" s="123">
        <f>SUM(C30:C32)</f>
        <v>-13</v>
      </c>
      <c r="D33" s="124">
        <f>SUM(D30:D32)</f>
        <v>0</v>
      </c>
      <c r="E33" s="123">
        <f>SUM(E30:E32)</f>
        <v>-13</v>
      </c>
      <c r="G33" s="123">
        <f>SUM(G30:G32)</f>
        <v>-13</v>
      </c>
      <c r="H33" s="124">
        <f>SUM(H30:H32)</f>
        <v>0</v>
      </c>
      <c r="I33" s="123">
        <f>SUM(I30:I32)</f>
        <v>-13</v>
      </c>
    </row>
    <row r="34" spans="2:8" ht="13.5" thickTop="1">
      <c r="B34" s="53"/>
      <c r="C34" s="53"/>
      <c r="G34" s="53"/>
      <c r="H34" s="1"/>
    </row>
    <row r="35" spans="2:8" ht="12.75">
      <c r="B35" s="53"/>
      <c r="C35" s="53"/>
      <c r="G35" s="53"/>
      <c r="H35" s="1"/>
    </row>
    <row r="36" spans="2:8" ht="12.75">
      <c r="B36" s="53"/>
      <c r="C36" s="53"/>
      <c r="G36" s="53"/>
      <c r="H36" s="1"/>
    </row>
    <row r="37" spans="2:8" ht="12.75">
      <c r="B37" s="53"/>
      <c r="C37" s="53"/>
      <c r="G37" s="53"/>
      <c r="H37" s="1"/>
    </row>
    <row r="38" spans="2:8" ht="12.75">
      <c r="B38" s="53"/>
      <c r="C38" s="53"/>
      <c r="G38" s="53"/>
      <c r="H38" s="1"/>
    </row>
    <row r="39" s="1" customFormat="1" ht="12.75">
      <c r="B39" s="72"/>
    </row>
    <row r="40" spans="2:9" ht="30">
      <c r="B40" s="53"/>
      <c r="C40" s="22" t="s">
        <v>493</v>
      </c>
      <c r="D40" s="115" t="s">
        <v>494</v>
      </c>
      <c r="E40" s="22" t="s">
        <v>493</v>
      </c>
      <c r="G40" s="22" t="s">
        <v>493</v>
      </c>
      <c r="H40" s="115" t="s">
        <v>495</v>
      </c>
      <c r="I40" s="22" t="s">
        <v>493</v>
      </c>
    </row>
    <row r="41" spans="3:9" ht="12.75">
      <c r="C41" s="24" t="s">
        <v>496</v>
      </c>
      <c r="D41" s="54" t="s">
        <v>496</v>
      </c>
      <c r="E41" s="24" t="s">
        <v>496</v>
      </c>
      <c r="G41" s="24" t="s">
        <v>496</v>
      </c>
      <c r="H41" s="54" t="s">
        <v>496</v>
      </c>
      <c r="I41" s="24" t="s">
        <v>496</v>
      </c>
    </row>
    <row r="42" spans="2:9" ht="20.25" customHeight="1">
      <c r="B42" s="27" t="s">
        <v>519</v>
      </c>
      <c r="C42" s="28" t="s">
        <v>961</v>
      </c>
      <c r="D42" s="29" t="s">
        <v>966</v>
      </c>
      <c r="E42" s="28" t="s">
        <v>966</v>
      </c>
      <c r="G42" s="28" t="s">
        <v>966</v>
      </c>
      <c r="H42" s="29" t="s">
        <v>966</v>
      </c>
      <c r="I42" s="28" t="s">
        <v>966</v>
      </c>
    </row>
    <row r="43" spans="2:9" ht="15">
      <c r="B43" s="30" t="s">
        <v>520</v>
      </c>
      <c r="C43" s="116" t="s">
        <v>500</v>
      </c>
      <c r="D43" s="117" t="s">
        <v>1596</v>
      </c>
      <c r="E43" s="116" t="s">
        <v>501</v>
      </c>
      <c r="G43" s="116" t="s">
        <v>500</v>
      </c>
      <c r="H43" s="117" t="s">
        <v>1486</v>
      </c>
      <c r="I43" s="116" t="s">
        <v>501</v>
      </c>
    </row>
    <row r="44" spans="2:9" ht="12.75">
      <c r="B44" s="33" t="s">
        <v>521</v>
      </c>
      <c r="C44" s="55"/>
      <c r="E44" s="114"/>
      <c r="G44" s="55"/>
      <c r="H44" s="1"/>
      <c r="I44" s="114"/>
    </row>
    <row r="45" spans="2:9" ht="12.75">
      <c r="B45" s="35" t="s">
        <v>522</v>
      </c>
      <c r="C45" s="118">
        <f>C33</f>
        <v>-13</v>
      </c>
      <c r="D45" s="44">
        <f>D33</f>
        <v>0</v>
      </c>
      <c r="E45" s="118">
        <f>E33</f>
        <v>-13</v>
      </c>
      <c r="G45" s="118">
        <f>G33</f>
        <v>-13</v>
      </c>
      <c r="H45" s="44">
        <f>H33</f>
        <v>0</v>
      </c>
      <c r="I45" s="118">
        <f>I33</f>
        <v>-13</v>
      </c>
    </row>
    <row r="46" spans="2:9" ht="12.75">
      <c r="B46" s="35" t="s">
        <v>523</v>
      </c>
      <c r="C46" s="118">
        <f>C20</f>
        <v>0</v>
      </c>
      <c r="D46" s="44">
        <f>D20</f>
        <v>0</v>
      </c>
      <c r="E46" s="118">
        <f>E20</f>
        <v>0</v>
      </c>
      <c r="G46" s="118">
        <f>G20</f>
        <v>0</v>
      </c>
      <c r="H46" s="44">
        <f>H20</f>
        <v>0</v>
      </c>
      <c r="I46" s="118">
        <f>I20</f>
        <v>0</v>
      </c>
    </row>
    <row r="47" spans="2:9" ht="12.75">
      <c r="B47" s="35" t="s">
        <v>524</v>
      </c>
      <c r="C47" s="118">
        <v>0</v>
      </c>
      <c r="D47" s="1">
        <v>0</v>
      </c>
      <c r="E47" s="125">
        <f>C47+D47</f>
        <v>0</v>
      </c>
      <c r="G47" s="118">
        <f>C47</f>
        <v>0</v>
      </c>
      <c r="H47" s="67">
        <f>D47</f>
        <v>0</v>
      </c>
      <c r="I47" s="125">
        <f>G47+H47</f>
        <v>0</v>
      </c>
    </row>
    <row r="48" spans="2:9" ht="12.75">
      <c r="B48" s="35" t="s">
        <v>525</v>
      </c>
      <c r="C48" s="118">
        <v>0</v>
      </c>
      <c r="D48" s="1">
        <v>0</v>
      </c>
      <c r="E48" s="125">
        <f>C48+D48</f>
        <v>0</v>
      </c>
      <c r="G48" s="118">
        <v>0</v>
      </c>
      <c r="H48" s="67">
        <f>D48</f>
        <v>0</v>
      </c>
      <c r="I48" s="125">
        <f>G48+H48</f>
        <v>0</v>
      </c>
    </row>
    <row r="49" spans="2:9" ht="12.75">
      <c r="B49" s="35" t="s">
        <v>526</v>
      </c>
      <c r="C49" s="118">
        <v>0</v>
      </c>
      <c r="D49" s="1">
        <v>0</v>
      </c>
      <c r="E49" s="125">
        <f>C49+D49</f>
        <v>0</v>
      </c>
      <c r="G49" s="118">
        <v>0</v>
      </c>
      <c r="H49" s="67">
        <f>D49</f>
        <v>0</v>
      </c>
      <c r="I49" s="125">
        <f>G49+H49</f>
        <v>0</v>
      </c>
    </row>
    <row r="50" spans="2:9" ht="12.75">
      <c r="B50" s="35" t="s">
        <v>527</v>
      </c>
      <c r="C50" s="118">
        <f>C16</f>
        <v>0</v>
      </c>
      <c r="D50" s="44">
        <f>D16</f>
        <v>0</v>
      </c>
      <c r="E50" s="118">
        <f>E16</f>
        <v>0</v>
      </c>
      <c r="G50" s="118">
        <f>G16</f>
        <v>0</v>
      </c>
      <c r="H50" s="44">
        <f>H16</f>
        <v>0</v>
      </c>
      <c r="I50" s="118">
        <f>I16</f>
        <v>0</v>
      </c>
    </row>
    <row r="51" spans="2:9" ht="12.75">
      <c r="B51" s="35" t="s">
        <v>528</v>
      </c>
      <c r="C51" s="118">
        <v>0</v>
      </c>
      <c r="D51" s="1">
        <v>0</v>
      </c>
      <c r="E51" s="125">
        <f>C51+D51</f>
        <v>0</v>
      </c>
      <c r="G51" s="118">
        <v>0</v>
      </c>
      <c r="H51" s="67">
        <f>D51</f>
        <v>0</v>
      </c>
      <c r="I51" s="125">
        <f>G51+H51</f>
        <v>0</v>
      </c>
    </row>
    <row r="52" spans="2:9" ht="12.75">
      <c r="B52" s="57" t="s">
        <v>529</v>
      </c>
      <c r="C52" s="120">
        <f>SUM(C45:C51)</f>
        <v>-13</v>
      </c>
      <c r="D52" s="40">
        <f>SUM(D45:D51)</f>
        <v>0</v>
      </c>
      <c r="E52" s="120">
        <f>SUM(E45:E51)</f>
        <v>-13</v>
      </c>
      <c r="G52" s="120">
        <f>SUM(G45:G51)</f>
        <v>-13</v>
      </c>
      <c r="H52" s="40">
        <f>SUM(H45:H51)</f>
        <v>0</v>
      </c>
      <c r="I52" s="120">
        <f>SUM(I45:I51)</f>
        <v>-13</v>
      </c>
    </row>
    <row r="53" spans="2:9" ht="12.75">
      <c r="B53" s="58" t="s">
        <v>530</v>
      </c>
      <c r="C53" s="118"/>
      <c r="D53" s="1"/>
      <c r="E53" s="114"/>
      <c r="G53" s="118"/>
      <c r="H53" s="1"/>
      <c r="I53" s="114"/>
    </row>
    <row r="54" spans="2:9" ht="12.75">
      <c r="B54" s="35" t="s">
        <v>531</v>
      </c>
      <c r="C54" s="118">
        <v>0</v>
      </c>
      <c r="D54" s="1">
        <v>0</v>
      </c>
      <c r="E54" s="125">
        <f>C54+D54</f>
        <v>0</v>
      </c>
      <c r="G54" s="118">
        <f aca="true" t="shared" si="2" ref="G54:H58">C54</f>
        <v>0</v>
      </c>
      <c r="H54" s="1">
        <f t="shared" si="2"/>
        <v>0</v>
      </c>
      <c r="I54" s="125">
        <f>G54+H54</f>
        <v>0</v>
      </c>
    </row>
    <row r="55" spans="2:9" ht="12.75">
      <c r="B55" s="35" t="s">
        <v>532</v>
      </c>
      <c r="C55" s="118">
        <v>0</v>
      </c>
      <c r="D55" s="2">
        <v>0</v>
      </c>
      <c r="E55" s="125">
        <f>C55+D55</f>
        <v>0</v>
      </c>
      <c r="G55" s="118">
        <f t="shared" si="2"/>
        <v>0</v>
      </c>
      <c r="H55" s="1">
        <f t="shared" si="2"/>
        <v>0</v>
      </c>
      <c r="I55" s="125">
        <f>G55+H55</f>
        <v>0</v>
      </c>
    </row>
    <row r="56" spans="2:9" ht="12.75">
      <c r="B56" s="35" t="s">
        <v>533</v>
      </c>
      <c r="C56" s="118">
        <v>0</v>
      </c>
      <c r="D56" s="2">
        <v>0</v>
      </c>
      <c r="E56" s="125">
        <f>C56+D56</f>
        <v>0</v>
      </c>
      <c r="G56" s="118">
        <f t="shared" si="2"/>
        <v>0</v>
      </c>
      <c r="H56" s="1">
        <f t="shared" si="2"/>
        <v>0</v>
      </c>
      <c r="I56" s="125">
        <f>G56+H56</f>
        <v>0</v>
      </c>
    </row>
    <row r="57" spans="2:9" ht="12.75">
      <c r="B57" s="35" t="s">
        <v>534</v>
      </c>
      <c r="C57" s="118">
        <v>0</v>
      </c>
      <c r="D57" s="2">
        <v>0</v>
      </c>
      <c r="E57" s="125">
        <f>C57+D57</f>
        <v>0</v>
      </c>
      <c r="G57" s="118">
        <f t="shared" si="2"/>
        <v>0</v>
      </c>
      <c r="H57" s="1">
        <f t="shared" si="2"/>
        <v>0</v>
      </c>
      <c r="I57" s="125">
        <f>G57+H57</f>
        <v>0</v>
      </c>
    </row>
    <row r="58" spans="2:9" ht="12.75">
      <c r="B58" s="35" t="s">
        <v>535</v>
      </c>
      <c r="C58" s="121">
        <v>0</v>
      </c>
      <c r="D58" s="126">
        <v>0</v>
      </c>
      <c r="E58" s="147">
        <f>C58+D58</f>
        <v>0</v>
      </c>
      <c r="G58" s="121">
        <f t="shared" si="2"/>
        <v>0</v>
      </c>
      <c r="H58" s="126">
        <f t="shared" si="2"/>
        <v>0</v>
      </c>
      <c r="I58" s="147">
        <f>G58+H58</f>
        <v>0</v>
      </c>
    </row>
    <row r="59" spans="2:9" ht="12.75">
      <c r="B59" s="30" t="s">
        <v>530</v>
      </c>
      <c r="C59" s="121">
        <f>SUM(C54:C58)</f>
        <v>0</v>
      </c>
      <c r="D59" s="48">
        <f>SUM(D54:D58)</f>
        <v>0</v>
      </c>
      <c r="E59" s="121">
        <f>SUM(E54:E58)</f>
        <v>0</v>
      </c>
      <c r="G59" s="121">
        <f>SUM(G54:G58)</f>
        <v>0</v>
      </c>
      <c r="H59" s="48">
        <f>SUM(H54:H58)</f>
        <v>0</v>
      </c>
      <c r="I59" s="121">
        <f>SUM(I54:I58)</f>
        <v>0</v>
      </c>
    </row>
    <row r="60" spans="2:9" ht="13.5" thickBot="1">
      <c r="B60" s="57" t="s">
        <v>536</v>
      </c>
      <c r="C60" s="123">
        <f>C52+C59</f>
        <v>-13</v>
      </c>
      <c r="D60" s="124">
        <f>D52+D59</f>
        <v>0</v>
      </c>
      <c r="E60" s="123">
        <f>E52+E59</f>
        <v>-13</v>
      </c>
      <c r="G60" s="123">
        <f>G52+G59</f>
        <v>-13</v>
      </c>
      <c r="H60" s="124">
        <f>H52+H59</f>
        <v>0</v>
      </c>
      <c r="I60" s="123">
        <f>I52+I59</f>
        <v>-13</v>
      </c>
    </row>
    <row r="61" spans="2:9" ht="13.5" thickTop="1">
      <c r="B61" s="30"/>
      <c r="C61" s="59"/>
      <c r="D61" s="1"/>
      <c r="E61" s="114"/>
      <c r="G61" s="59"/>
      <c r="H61" s="1"/>
      <c r="I61" s="114"/>
    </row>
    <row r="62" spans="2:9" ht="12.75">
      <c r="B62" s="33" t="s">
        <v>537</v>
      </c>
      <c r="C62" s="60"/>
      <c r="D62" s="1"/>
      <c r="E62" s="114"/>
      <c r="G62" s="60"/>
      <c r="H62" s="1"/>
      <c r="I62" s="114"/>
    </row>
    <row r="63" spans="2:9" ht="12.75">
      <c r="B63" s="35" t="s">
        <v>538</v>
      </c>
      <c r="C63" s="118">
        <v>0</v>
      </c>
      <c r="D63" s="67">
        <v>0</v>
      </c>
      <c r="E63" s="125">
        <f aca="true" t="shared" si="3" ref="E63:E68">C63+D63</f>
        <v>0</v>
      </c>
      <c r="G63" s="118">
        <f aca="true" t="shared" si="4" ref="G63:G68">C63</f>
        <v>0</v>
      </c>
      <c r="H63" s="67">
        <f aca="true" t="shared" si="5" ref="H63:H68">D63</f>
        <v>0</v>
      </c>
      <c r="I63" s="125">
        <f aca="true" t="shared" si="6" ref="I63:I68">G63+H63</f>
        <v>0</v>
      </c>
    </row>
    <row r="64" spans="2:9" ht="12.75" outlineLevel="1">
      <c r="B64" s="35" t="s">
        <v>539</v>
      </c>
      <c r="C64" s="118">
        <v>0</v>
      </c>
      <c r="D64" s="67">
        <v>0</v>
      </c>
      <c r="E64" s="125">
        <f t="shared" si="3"/>
        <v>0</v>
      </c>
      <c r="G64" s="118">
        <f t="shared" si="4"/>
        <v>0</v>
      </c>
      <c r="H64" s="67">
        <f t="shared" si="5"/>
        <v>0</v>
      </c>
      <c r="I64" s="125">
        <f t="shared" si="6"/>
        <v>0</v>
      </c>
    </row>
    <row r="65" spans="2:9" ht="12.75" outlineLevel="1">
      <c r="B65" s="35" t="s">
        <v>540</v>
      </c>
      <c r="C65" s="118">
        <v>0</v>
      </c>
      <c r="D65" s="67">
        <v>0</v>
      </c>
      <c r="E65" s="125">
        <f t="shared" si="3"/>
        <v>0</v>
      </c>
      <c r="G65" s="118">
        <f t="shared" si="4"/>
        <v>0</v>
      </c>
      <c r="H65" s="67">
        <f t="shared" si="5"/>
        <v>0</v>
      </c>
      <c r="I65" s="125">
        <f t="shared" si="6"/>
        <v>0</v>
      </c>
    </row>
    <row r="66" spans="2:9" ht="12.75">
      <c r="B66" s="35" t="s">
        <v>541</v>
      </c>
      <c r="C66" s="118">
        <v>0</v>
      </c>
      <c r="D66" s="67">
        <v>0</v>
      </c>
      <c r="E66" s="125">
        <f t="shared" si="3"/>
        <v>0</v>
      </c>
      <c r="G66" s="118">
        <f t="shared" si="4"/>
        <v>0</v>
      </c>
      <c r="H66" s="67">
        <f t="shared" si="5"/>
        <v>0</v>
      </c>
      <c r="I66" s="125">
        <f t="shared" si="6"/>
        <v>0</v>
      </c>
    </row>
    <row r="67" spans="2:9" ht="12.75" outlineLevel="1">
      <c r="B67" s="35" t="s">
        <v>542</v>
      </c>
      <c r="C67" s="118">
        <v>0</v>
      </c>
      <c r="D67" s="67">
        <v>0</v>
      </c>
      <c r="E67" s="125">
        <f t="shared" si="3"/>
        <v>0</v>
      </c>
      <c r="G67" s="118">
        <f t="shared" si="4"/>
        <v>0</v>
      </c>
      <c r="H67" s="67">
        <f t="shared" si="5"/>
        <v>0</v>
      </c>
      <c r="I67" s="125">
        <f t="shared" si="6"/>
        <v>0</v>
      </c>
    </row>
    <row r="68" spans="2:9" ht="12.75" outlineLevel="1">
      <c r="B68" s="35" t="s">
        <v>528</v>
      </c>
      <c r="C68" s="118">
        <v>0</v>
      </c>
      <c r="D68" s="44">
        <v>0</v>
      </c>
      <c r="E68" s="125">
        <f t="shared" si="3"/>
        <v>0</v>
      </c>
      <c r="G68" s="118">
        <f t="shared" si="4"/>
        <v>0</v>
      </c>
      <c r="H68" s="67">
        <f t="shared" si="5"/>
        <v>0</v>
      </c>
      <c r="I68" s="125">
        <f t="shared" si="6"/>
        <v>0</v>
      </c>
    </row>
    <row r="69" spans="2:9" ht="12.75">
      <c r="B69" s="30" t="s">
        <v>537</v>
      </c>
      <c r="C69" s="120">
        <f>SUM(C63:C68)</f>
        <v>0</v>
      </c>
      <c r="D69" s="40">
        <f>SUM(D63:D68)</f>
        <v>0</v>
      </c>
      <c r="E69" s="120">
        <f>SUM(E63:E68)</f>
        <v>0</v>
      </c>
      <c r="G69" s="120">
        <f>SUM(G63:G68)</f>
        <v>0</v>
      </c>
      <c r="H69" s="40">
        <f>SUM(H63:H68)</f>
        <v>0</v>
      </c>
      <c r="I69" s="120">
        <f>SUM(I63:I68)</f>
        <v>0</v>
      </c>
    </row>
    <row r="70" spans="2:9" ht="12.75">
      <c r="B70" s="41"/>
      <c r="C70" s="118"/>
      <c r="D70" s="67"/>
      <c r="E70" s="114"/>
      <c r="G70" s="118"/>
      <c r="H70" s="1"/>
      <c r="I70" s="114"/>
    </row>
    <row r="71" spans="2:9" ht="12.75">
      <c r="B71" s="33" t="s">
        <v>543</v>
      </c>
      <c r="C71" s="60"/>
      <c r="D71" s="67"/>
      <c r="E71" s="114"/>
      <c r="G71" s="60"/>
      <c r="H71" s="1"/>
      <c r="I71" s="114"/>
    </row>
    <row r="72" spans="2:9" ht="12.75" outlineLevel="1">
      <c r="B72" s="35" t="s">
        <v>544</v>
      </c>
      <c r="C72" s="118">
        <v>0</v>
      </c>
      <c r="D72" s="67">
        <v>0</v>
      </c>
      <c r="E72" s="125">
        <f>C72+D72</f>
        <v>0</v>
      </c>
      <c r="G72" s="118">
        <f>C72</f>
        <v>0</v>
      </c>
      <c r="H72" s="67">
        <f>D72</f>
        <v>0</v>
      </c>
      <c r="I72" s="125">
        <f>G72+H72</f>
        <v>0</v>
      </c>
    </row>
    <row r="73" spans="2:9" ht="12.75" outlineLevel="1">
      <c r="B73" s="35" t="s">
        <v>545</v>
      </c>
      <c r="C73" s="118">
        <v>0</v>
      </c>
      <c r="D73" s="67">
        <v>0</v>
      </c>
      <c r="E73" s="125">
        <f aca="true" t="shared" si="7" ref="E73:E81">C73+D73</f>
        <v>0</v>
      </c>
      <c r="G73" s="118">
        <f aca="true" t="shared" si="8" ref="G73:G81">C73</f>
        <v>0</v>
      </c>
      <c r="H73" s="67">
        <f aca="true" t="shared" si="9" ref="H73:H81">D73</f>
        <v>0</v>
      </c>
      <c r="I73" s="125">
        <f aca="true" t="shared" si="10" ref="I73:I81">G73+H73</f>
        <v>0</v>
      </c>
    </row>
    <row r="74" spans="2:9" ht="12.75" outlineLevel="1">
      <c r="B74" s="35" t="s">
        <v>546</v>
      </c>
      <c r="C74" s="118">
        <v>0</v>
      </c>
      <c r="D74" s="67">
        <v>0</v>
      </c>
      <c r="E74" s="125">
        <f t="shared" si="7"/>
        <v>0</v>
      </c>
      <c r="G74" s="118">
        <f t="shared" si="8"/>
        <v>0</v>
      </c>
      <c r="H74" s="67">
        <f t="shared" si="9"/>
        <v>0</v>
      </c>
      <c r="I74" s="125">
        <f t="shared" si="10"/>
        <v>0</v>
      </c>
    </row>
    <row r="75" spans="2:9" ht="12.75" outlineLevel="1">
      <c r="B75" s="35" t="s">
        <v>954</v>
      </c>
      <c r="C75" s="118">
        <v>0</v>
      </c>
      <c r="D75" s="67">
        <v>0</v>
      </c>
      <c r="E75" s="125">
        <f t="shared" si="7"/>
        <v>0</v>
      </c>
      <c r="G75" s="118">
        <f t="shared" si="8"/>
        <v>0</v>
      </c>
      <c r="H75" s="67"/>
      <c r="I75" s="125"/>
    </row>
    <row r="76" spans="2:9" ht="12.75" outlineLevel="1">
      <c r="B76" s="35" t="s">
        <v>955</v>
      </c>
      <c r="C76" s="118">
        <v>0</v>
      </c>
      <c r="D76" s="67">
        <v>0</v>
      </c>
      <c r="E76" s="125">
        <f t="shared" si="7"/>
        <v>0</v>
      </c>
      <c r="G76" s="118">
        <f t="shared" si="8"/>
        <v>0</v>
      </c>
      <c r="H76" s="67"/>
      <c r="I76" s="125"/>
    </row>
    <row r="77" spans="2:9" ht="12.75">
      <c r="B77" s="35" t="s">
        <v>547</v>
      </c>
      <c r="C77" s="118">
        <v>0</v>
      </c>
      <c r="D77" s="67">
        <v>0</v>
      </c>
      <c r="E77" s="125">
        <f t="shared" si="7"/>
        <v>0</v>
      </c>
      <c r="G77" s="118">
        <f t="shared" si="8"/>
        <v>0</v>
      </c>
      <c r="H77" s="67">
        <f t="shared" si="9"/>
        <v>0</v>
      </c>
      <c r="I77" s="125">
        <f t="shared" si="10"/>
        <v>0</v>
      </c>
    </row>
    <row r="78" spans="2:9" ht="12.75">
      <c r="B78" s="35" t="s">
        <v>548</v>
      </c>
      <c r="C78" s="118">
        <v>0</v>
      </c>
      <c r="D78" s="67">
        <v>0</v>
      </c>
      <c r="E78" s="125">
        <f t="shared" si="7"/>
        <v>0</v>
      </c>
      <c r="G78" s="118">
        <f t="shared" si="8"/>
        <v>0</v>
      </c>
      <c r="H78" s="67">
        <f t="shared" si="9"/>
        <v>0</v>
      </c>
      <c r="I78" s="125">
        <f t="shared" si="10"/>
        <v>0</v>
      </c>
    </row>
    <row r="79" spans="2:9" ht="12.75">
      <c r="B79" s="35" t="s">
        <v>549</v>
      </c>
      <c r="C79" s="118">
        <v>0</v>
      </c>
      <c r="D79" s="67">
        <v>0</v>
      </c>
      <c r="E79" s="125">
        <f t="shared" si="7"/>
        <v>0</v>
      </c>
      <c r="G79" s="118">
        <f t="shared" si="8"/>
        <v>0</v>
      </c>
      <c r="H79" s="67">
        <f t="shared" si="9"/>
        <v>0</v>
      </c>
      <c r="I79" s="125">
        <f t="shared" si="10"/>
        <v>0</v>
      </c>
    </row>
    <row r="80" spans="2:9" ht="12.75">
      <c r="B80" s="35" t="s">
        <v>550</v>
      </c>
      <c r="C80" s="118">
        <v>0</v>
      </c>
      <c r="D80" s="67">
        <v>0</v>
      </c>
      <c r="E80" s="125">
        <f t="shared" si="7"/>
        <v>0</v>
      </c>
      <c r="G80" s="118">
        <f t="shared" si="8"/>
        <v>0</v>
      </c>
      <c r="H80" s="67">
        <f t="shared" si="9"/>
        <v>0</v>
      </c>
      <c r="I80" s="125">
        <f t="shared" si="10"/>
        <v>0</v>
      </c>
    </row>
    <row r="81" spans="2:9" ht="12.75">
      <c r="B81" s="35" t="s">
        <v>528</v>
      </c>
      <c r="C81" s="118">
        <v>0</v>
      </c>
      <c r="D81" s="67">
        <v>0</v>
      </c>
      <c r="E81" s="125">
        <f t="shared" si="7"/>
        <v>0</v>
      </c>
      <c r="G81" s="118">
        <f t="shared" si="8"/>
        <v>0</v>
      </c>
      <c r="H81" s="67">
        <f t="shared" si="9"/>
        <v>0</v>
      </c>
      <c r="I81" s="125">
        <f t="shared" si="10"/>
        <v>0</v>
      </c>
    </row>
    <row r="82" spans="2:9" ht="12.75">
      <c r="B82" s="30" t="s">
        <v>543</v>
      </c>
      <c r="C82" s="120">
        <f>SUM(C72:C81)</f>
        <v>0</v>
      </c>
      <c r="D82" s="40">
        <f>SUM(D72:D81)</f>
        <v>0</v>
      </c>
      <c r="E82" s="120">
        <f>SUM(E72:E81)</f>
        <v>0</v>
      </c>
      <c r="G82" s="120">
        <f>SUM(G72:G81)</f>
        <v>0</v>
      </c>
      <c r="H82" s="40">
        <f>SUM(H72:H81)</f>
        <v>0</v>
      </c>
      <c r="I82" s="120">
        <f>SUM(I72:I81)</f>
        <v>0</v>
      </c>
    </row>
    <row r="83" spans="2:9" ht="12.75">
      <c r="B83" s="30"/>
      <c r="C83" s="118"/>
      <c r="D83" s="67"/>
      <c r="E83" s="114"/>
      <c r="G83" s="118"/>
      <c r="H83" s="1"/>
      <c r="I83" s="114"/>
    </row>
    <row r="84" spans="2:9" ht="12.75">
      <c r="B84" s="43" t="s">
        <v>551</v>
      </c>
      <c r="C84" s="118">
        <f>C60+C69+C82</f>
        <v>-13</v>
      </c>
      <c r="D84" s="44">
        <f>D60+D69+D82</f>
        <v>0</v>
      </c>
      <c r="E84" s="118">
        <f>E60+E69+E82</f>
        <v>-13</v>
      </c>
      <c r="G84" s="118">
        <f>G60+G69+G82</f>
        <v>-13</v>
      </c>
      <c r="H84" s="44">
        <f>H60+H69+H82</f>
        <v>0</v>
      </c>
      <c r="I84" s="118">
        <f>I60+I69+I82</f>
        <v>-13</v>
      </c>
    </row>
    <row r="85" spans="2:9" ht="12.75">
      <c r="B85" s="43" t="s">
        <v>552</v>
      </c>
      <c r="C85" s="121">
        <v>633</v>
      </c>
      <c r="D85" s="48">
        <v>0</v>
      </c>
      <c r="E85" s="121">
        <f>C85+D85</f>
        <v>633</v>
      </c>
      <c r="G85" s="121">
        <f>C85</f>
        <v>633</v>
      </c>
      <c r="H85" s="48">
        <v>0</v>
      </c>
      <c r="I85" s="121">
        <f>G85+H85</f>
        <v>633</v>
      </c>
    </row>
    <row r="86" spans="2:9" ht="13.5" thickBot="1">
      <c r="B86" s="43" t="s">
        <v>553</v>
      </c>
      <c r="C86" s="123">
        <f>SUM(C84:C85)</f>
        <v>620</v>
      </c>
      <c r="D86" s="124">
        <f>SUM(D84:D85)</f>
        <v>0</v>
      </c>
      <c r="E86" s="123">
        <f>SUM(E84:E85)</f>
        <v>620</v>
      </c>
      <c r="G86" s="123">
        <f>SUM(G84:G85)</f>
        <v>620</v>
      </c>
      <c r="H86" s="124">
        <f>SUM(H84:H85)</f>
        <v>0</v>
      </c>
      <c r="I86" s="123">
        <f>SUM(I84:I85)</f>
        <v>620</v>
      </c>
    </row>
    <row r="87" spans="2:8" ht="13.5" thickTop="1">
      <c r="B87" s="53"/>
      <c r="C87" s="61"/>
      <c r="D87" s="1"/>
      <c r="G87" s="61"/>
      <c r="H87" s="1"/>
    </row>
    <row r="88" spans="2:8" ht="12.75">
      <c r="B88" s="53"/>
      <c r="C88" s="61"/>
      <c r="D88" s="1"/>
      <c r="G88" s="61"/>
      <c r="H88" s="1"/>
    </row>
    <row r="89" s="1" customFormat="1" ht="12.75">
      <c r="B89" s="72"/>
    </row>
    <row r="90" spans="3:10" ht="30">
      <c r="C90" s="22" t="s">
        <v>493</v>
      </c>
      <c r="D90" s="115" t="s">
        <v>494</v>
      </c>
      <c r="E90" s="22" t="s">
        <v>493</v>
      </c>
      <c r="G90" s="22" t="s">
        <v>493</v>
      </c>
      <c r="H90" s="115" t="s">
        <v>495</v>
      </c>
      <c r="I90" s="22" t="s">
        <v>493</v>
      </c>
      <c r="J90" s="155" t="s">
        <v>493</v>
      </c>
    </row>
    <row r="91" spans="2:10" ht="18">
      <c r="B91" s="27" t="s">
        <v>554</v>
      </c>
      <c r="C91" s="24" t="s">
        <v>496</v>
      </c>
      <c r="D91" s="54" t="s">
        <v>496</v>
      </c>
      <c r="E91" s="24" t="s">
        <v>496</v>
      </c>
      <c r="G91" s="24" t="s">
        <v>496</v>
      </c>
      <c r="H91" s="54" t="s">
        <v>496</v>
      </c>
      <c r="I91" s="24" t="s">
        <v>496</v>
      </c>
      <c r="J91" s="156" t="s">
        <v>496</v>
      </c>
    </row>
    <row r="92" spans="2:10" ht="26.25" customHeight="1">
      <c r="B92" s="30" t="s">
        <v>520</v>
      </c>
      <c r="C92" s="28" t="s">
        <v>966</v>
      </c>
      <c r="D92" s="29" t="s">
        <v>966</v>
      </c>
      <c r="E92" s="28" t="s">
        <v>966</v>
      </c>
      <c r="G92" s="28" t="s">
        <v>966</v>
      </c>
      <c r="H92" s="29" t="s">
        <v>966</v>
      </c>
      <c r="I92" s="28" t="s">
        <v>966</v>
      </c>
      <c r="J92" s="157" t="s">
        <v>966</v>
      </c>
    </row>
    <row r="93" spans="2:10" ht="15">
      <c r="B93" s="33" t="s">
        <v>555</v>
      </c>
      <c r="C93" s="116" t="s">
        <v>500</v>
      </c>
      <c r="D93" s="117" t="s">
        <v>1596</v>
      </c>
      <c r="E93" s="116" t="s">
        <v>501</v>
      </c>
      <c r="G93" s="116" t="s">
        <v>500</v>
      </c>
      <c r="H93" s="117" t="s">
        <v>1486</v>
      </c>
      <c r="I93" s="116" t="s">
        <v>501</v>
      </c>
      <c r="J93" s="158" t="s">
        <v>1488</v>
      </c>
    </row>
    <row r="94" spans="2:10" ht="12.75">
      <c r="B94" s="62" t="s">
        <v>556</v>
      </c>
      <c r="C94" s="63"/>
      <c r="D94" s="1"/>
      <c r="E94" s="114"/>
      <c r="G94" s="63"/>
      <c r="H94" s="1"/>
      <c r="I94" s="114"/>
      <c r="J94" s="162"/>
    </row>
    <row r="95" spans="2:10" ht="12.75">
      <c r="B95" s="62" t="s">
        <v>557</v>
      </c>
      <c r="C95" s="63"/>
      <c r="D95" s="1"/>
      <c r="E95" s="114"/>
      <c r="G95" s="63"/>
      <c r="H95" s="1"/>
      <c r="I95" s="114"/>
      <c r="J95" s="162"/>
    </row>
    <row r="96" spans="2:10" ht="12.75">
      <c r="B96" s="35" t="s">
        <v>558</v>
      </c>
      <c r="C96" s="118">
        <v>0</v>
      </c>
      <c r="D96" s="67">
        <v>0</v>
      </c>
      <c r="E96" s="125">
        <f>C96+D96</f>
        <v>0</v>
      </c>
      <c r="G96" s="118">
        <f>C96+J96</f>
        <v>0</v>
      </c>
      <c r="H96" s="67">
        <f>D96</f>
        <v>0</v>
      </c>
      <c r="I96" s="125">
        <f>G96+H96</f>
        <v>0</v>
      </c>
      <c r="J96" s="159">
        <v>0</v>
      </c>
    </row>
    <row r="97" spans="2:10" ht="12.75">
      <c r="B97" s="35" t="s">
        <v>559</v>
      </c>
      <c r="C97" s="118">
        <v>0</v>
      </c>
      <c r="D97" s="67">
        <v>0</v>
      </c>
      <c r="E97" s="125">
        <f>C97+D97</f>
        <v>0</v>
      </c>
      <c r="G97" s="118">
        <f>C97+J97</f>
        <v>0</v>
      </c>
      <c r="H97" s="67">
        <f>D97</f>
        <v>0</v>
      </c>
      <c r="I97" s="125">
        <f>G97+H97</f>
        <v>0</v>
      </c>
      <c r="J97" s="159">
        <v>0</v>
      </c>
    </row>
    <row r="98" spans="2:10" ht="12.75">
      <c r="B98" s="35" t="s">
        <v>560</v>
      </c>
      <c r="C98" s="118">
        <v>0</v>
      </c>
      <c r="D98" s="67">
        <v>0</v>
      </c>
      <c r="E98" s="125">
        <f>C98+D98</f>
        <v>0</v>
      </c>
      <c r="G98" s="118">
        <f>C98+J98</f>
        <v>0</v>
      </c>
      <c r="H98" s="67">
        <f>D98</f>
        <v>0</v>
      </c>
      <c r="I98" s="125">
        <f>G98+H98</f>
        <v>0</v>
      </c>
      <c r="J98" s="159">
        <v>0</v>
      </c>
    </row>
    <row r="99" spans="2:10" ht="12.75">
      <c r="B99" s="35" t="s">
        <v>561</v>
      </c>
      <c r="C99" s="118">
        <f>0+J99</f>
        <v>0</v>
      </c>
      <c r="D99" s="67">
        <v>0</v>
      </c>
      <c r="E99" s="125">
        <f>C99+D99</f>
        <v>0</v>
      </c>
      <c r="G99" s="118">
        <f>C99+J99</f>
        <v>0</v>
      </c>
      <c r="H99" s="67">
        <f>D99</f>
        <v>0</v>
      </c>
      <c r="I99" s="125">
        <f>G99+H99</f>
        <v>0</v>
      </c>
      <c r="J99" s="159">
        <v>0</v>
      </c>
    </row>
    <row r="100" spans="2:10" ht="12.75">
      <c r="B100" s="35"/>
      <c r="C100" s="120">
        <f>SUM(C96:C99)</f>
        <v>0</v>
      </c>
      <c r="D100" s="40">
        <f>SUM(D96:D99)</f>
        <v>0</v>
      </c>
      <c r="E100" s="120">
        <f>SUM(E96:E99)</f>
        <v>0</v>
      </c>
      <c r="G100" s="120">
        <f>SUM(G96:G99)</f>
        <v>0</v>
      </c>
      <c r="H100" s="40">
        <f>SUM(H96:H99)</f>
        <v>0</v>
      </c>
      <c r="I100" s="120">
        <f>SUM(I96:I99)</f>
        <v>0</v>
      </c>
      <c r="J100" s="160">
        <f>SUM(J96:J99)</f>
        <v>0</v>
      </c>
    </row>
    <row r="101" spans="2:10" ht="12.75">
      <c r="B101" s="62" t="s">
        <v>562</v>
      </c>
      <c r="C101" s="118"/>
      <c r="D101" s="67"/>
      <c r="E101" s="114"/>
      <c r="G101" s="118"/>
      <c r="H101" s="1"/>
      <c r="I101" s="114"/>
      <c r="J101" s="159"/>
    </row>
    <row r="102" spans="2:10" ht="12.75">
      <c r="B102" s="35" t="s">
        <v>563</v>
      </c>
      <c r="C102" s="118">
        <v>0</v>
      </c>
      <c r="D102" s="67">
        <v>0</v>
      </c>
      <c r="E102" s="125">
        <f aca="true" t="shared" si="11" ref="E102:E107">C102+D102</f>
        <v>0</v>
      </c>
      <c r="G102" s="118">
        <f aca="true" t="shared" si="12" ref="G102:G107">C102+J102</f>
        <v>0</v>
      </c>
      <c r="H102" s="67">
        <f aca="true" t="shared" si="13" ref="H102:H107">D102</f>
        <v>0</v>
      </c>
      <c r="I102" s="125">
        <f aca="true" t="shared" si="14" ref="I102:I107">G102+H102</f>
        <v>0</v>
      </c>
      <c r="J102" s="159">
        <v>0</v>
      </c>
    </row>
    <row r="103" spans="2:10" ht="12.75">
      <c r="B103" s="35" t="s">
        <v>564</v>
      </c>
      <c r="C103" s="118">
        <v>0</v>
      </c>
      <c r="D103" s="67">
        <v>0</v>
      </c>
      <c r="E103" s="125">
        <f t="shared" si="11"/>
        <v>0</v>
      </c>
      <c r="G103" s="118">
        <f t="shared" si="12"/>
        <v>0</v>
      </c>
      <c r="H103" s="67">
        <f t="shared" si="13"/>
        <v>0</v>
      </c>
      <c r="I103" s="125">
        <f t="shared" si="14"/>
        <v>0</v>
      </c>
      <c r="J103" s="159">
        <v>0</v>
      </c>
    </row>
    <row r="104" spans="2:10" ht="12.75">
      <c r="B104" s="35" t="s">
        <v>565</v>
      </c>
      <c r="C104" s="118">
        <v>0</v>
      </c>
      <c r="D104" s="67">
        <v>0</v>
      </c>
      <c r="E104" s="125">
        <f t="shared" si="11"/>
        <v>0</v>
      </c>
      <c r="G104" s="118">
        <f t="shared" si="12"/>
        <v>0</v>
      </c>
      <c r="H104" s="67">
        <f t="shared" si="13"/>
        <v>0</v>
      </c>
      <c r="I104" s="125">
        <f t="shared" si="14"/>
        <v>0</v>
      </c>
      <c r="J104" s="159">
        <v>0</v>
      </c>
    </row>
    <row r="105" spans="2:10" ht="12.75">
      <c r="B105" s="35" t="s">
        <v>566</v>
      </c>
      <c r="C105" s="118">
        <v>0</v>
      </c>
      <c r="D105" s="67">
        <v>0</v>
      </c>
      <c r="E105" s="125">
        <f t="shared" si="11"/>
        <v>0</v>
      </c>
      <c r="G105" s="118">
        <f t="shared" si="12"/>
        <v>0</v>
      </c>
      <c r="H105" s="67">
        <f t="shared" si="13"/>
        <v>0</v>
      </c>
      <c r="I105" s="125">
        <f t="shared" si="14"/>
        <v>0</v>
      </c>
      <c r="J105" s="159">
        <v>0</v>
      </c>
    </row>
    <row r="106" spans="2:10" ht="12.75">
      <c r="B106" s="35" t="s">
        <v>567</v>
      </c>
      <c r="C106" s="118">
        <v>0</v>
      </c>
      <c r="D106" s="67">
        <v>0</v>
      </c>
      <c r="E106" s="125">
        <f t="shared" si="11"/>
        <v>0</v>
      </c>
      <c r="G106" s="118">
        <f t="shared" si="12"/>
        <v>0</v>
      </c>
      <c r="H106" s="67">
        <f t="shared" si="13"/>
        <v>0</v>
      </c>
      <c r="I106" s="125">
        <f t="shared" si="14"/>
        <v>0</v>
      </c>
      <c r="J106" s="159">
        <v>0</v>
      </c>
    </row>
    <row r="107" spans="2:10" ht="12.75">
      <c r="B107" s="35" t="s">
        <v>568</v>
      </c>
      <c r="C107" s="118">
        <v>0</v>
      </c>
      <c r="D107" s="67">
        <v>0</v>
      </c>
      <c r="E107" s="125">
        <f t="shared" si="11"/>
        <v>0</v>
      </c>
      <c r="G107" s="118">
        <f t="shared" si="12"/>
        <v>0</v>
      </c>
      <c r="H107" s="67">
        <f t="shared" si="13"/>
        <v>0</v>
      </c>
      <c r="I107" s="125">
        <f t="shared" si="14"/>
        <v>0</v>
      </c>
      <c r="J107" s="159">
        <v>0</v>
      </c>
    </row>
    <row r="108" spans="2:10" ht="12.75">
      <c r="B108" s="35"/>
      <c r="C108" s="120">
        <f>SUM(C102:C107)</f>
        <v>0</v>
      </c>
      <c r="D108" s="40">
        <f>SUM(D102:D107)</f>
        <v>0</v>
      </c>
      <c r="E108" s="120">
        <f>SUM(E102:E107)</f>
        <v>0</v>
      </c>
      <c r="G108" s="120">
        <f>SUM(G102:G107)</f>
        <v>0</v>
      </c>
      <c r="H108" s="40">
        <f>SUM(H102:H107)</f>
        <v>0</v>
      </c>
      <c r="I108" s="120">
        <f>SUM(I102:I107)</f>
        <v>0</v>
      </c>
      <c r="J108" s="160">
        <f>SUM(J102:J107)</f>
        <v>0</v>
      </c>
    </row>
    <row r="109" spans="2:10" ht="12.75">
      <c r="B109" s="30" t="s">
        <v>556</v>
      </c>
      <c r="C109" s="120">
        <f>C100+C108</f>
        <v>0</v>
      </c>
      <c r="D109" s="40">
        <f>D100+D108</f>
        <v>0</v>
      </c>
      <c r="E109" s="120">
        <f>E100+E108</f>
        <v>0</v>
      </c>
      <c r="G109" s="120">
        <f>G100+G108</f>
        <v>0</v>
      </c>
      <c r="H109" s="40">
        <f>H100+H108</f>
        <v>0</v>
      </c>
      <c r="I109" s="120">
        <f>I100+I108</f>
        <v>0</v>
      </c>
      <c r="J109" s="160">
        <f>J100+J108</f>
        <v>0</v>
      </c>
    </row>
    <row r="110" spans="2:10" ht="12.75">
      <c r="B110" s="62" t="s">
        <v>569</v>
      </c>
      <c r="C110" s="118"/>
      <c r="D110" s="67"/>
      <c r="E110" s="114"/>
      <c r="G110" s="118"/>
      <c r="H110" s="1"/>
      <c r="I110" s="114"/>
      <c r="J110" s="159"/>
    </row>
    <row r="111" spans="2:10" ht="12.75">
      <c r="B111" s="35" t="s">
        <v>570</v>
      </c>
      <c r="C111" s="118">
        <v>0</v>
      </c>
      <c r="D111" s="67">
        <v>0</v>
      </c>
      <c r="E111" s="125">
        <f>C111+D111</f>
        <v>0</v>
      </c>
      <c r="G111" s="118">
        <f>C111+J111</f>
        <v>0</v>
      </c>
      <c r="H111" s="67">
        <f>D111</f>
        <v>0</v>
      </c>
      <c r="I111" s="125">
        <f>G111+H111</f>
        <v>0</v>
      </c>
      <c r="J111" s="159">
        <v>0</v>
      </c>
    </row>
    <row r="112" spans="2:10" ht="12.75">
      <c r="B112" s="35" t="s">
        <v>571</v>
      </c>
      <c r="C112" s="118">
        <v>0</v>
      </c>
      <c r="D112" s="67">
        <v>0</v>
      </c>
      <c r="E112" s="125">
        <f aca="true" t="shared" si="15" ref="E112:E118">C112+D112</f>
        <v>0</v>
      </c>
      <c r="G112" s="118">
        <f aca="true" t="shared" si="16" ref="G112:G118">C112+J112</f>
        <v>0</v>
      </c>
      <c r="H112" s="67">
        <f aca="true" t="shared" si="17" ref="H112:H118">D112</f>
        <v>0</v>
      </c>
      <c r="I112" s="125">
        <f aca="true" t="shared" si="18" ref="I112:I118">G112+H112</f>
        <v>0</v>
      </c>
      <c r="J112" s="159">
        <v>0</v>
      </c>
    </row>
    <row r="113" spans="2:10" ht="12.75">
      <c r="B113" s="35" t="s">
        <v>572</v>
      </c>
      <c r="C113" s="118">
        <v>0</v>
      </c>
      <c r="D113" s="67">
        <v>0</v>
      </c>
      <c r="E113" s="125">
        <f t="shared" si="15"/>
        <v>0</v>
      </c>
      <c r="G113" s="118">
        <f t="shared" si="16"/>
        <v>0</v>
      </c>
      <c r="H113" s="67">
        <f t="shared" si="17"/>
        <v>0</v>
      </c>
      <c r="I113" s="125">
        <f t="shared" si="18"/>
        <v>0</v>
      </c>
      <c r="J113" s="159">
        <v>0</v>
      </c>
    </row>
    <row r="114" spans="2:10" ht="12.75">
      <c r="B114" s="35" t="s">
        <v>573</v>
      </c>
      <c r="C114" s="118">
        <v>0</v>
      </c>
      <c r="D114" s="67">
        <v>0</v>
      </c>
      <c r="E114" s="125">
        <f t="shared" si="15"/>
        <v>0</v>
      </c>
      <c r="G114" s="118">
        <f t="shared" si="16"/>
        <v>0</v>
      </c>
      <c r="H114" s="67">
        <f t="shared" si="17"/>
        <v>0</v>
      </c>
      <c r="I114" s="125">
        <f t="shared" si="18"/>
        <v>0</v>
      </c>
      <c r="J114" s="159">
        <v>0</v>
      </c>
    </row>
    <row r="115" spans="2:10" ht="12.75">
      <c r="B115" s="35" t="s">
        <v>574</v>
      </c>
      <c r="C115" s="118">
        <v>0</v>
      </c>
      <c r="D115" s="67">
        <v>0</v>
      </c>
      <c r="E115" s="125">
        <f t="shared" si="15"/>
        <v>0</v>
      </c>
      <c r="G115" s="118">
        <f t="shared" si="16"/>
        <v>0</v>
      </c>
      <c r="H115" s="67">
        <f t="shared" si="17"/>
        <v>0</v>
      </c>
      <c r="I115" s="125">
        <f t="shared" si="18"/>
        <v>0</v>
      </c>
      <c r="J115" s="159">
        <v>0</v>
      </c>
    </row>
    <row r="116" spans="2:10" ht="12.75">
      <c r="B116" s="35" t="s">
        <v>575</v>
      </c>
      <c r="C116" s="118">
        <v>0</v>
      </c>
      <c r="D116" s="67">
        <v>0</v>
      </c>
      <c r="E116" s="125">
        <f t="shared" si="15"/>
        <v>0</v>
      </c>
      <c r="G116" s="118">
        <f t="shared" si="16"/>
        <v>0</v>
      </c>
      <c r="H116" s="67">
        <f t="shared" si="17"/>
        <v>0</v>
      </c>
      <c r="I116" s="125">
        <f t="shared" si="18"/>
        <v>0</v>
      </c>
      <c r="J116" s="159">
        <v>0</v>
      </c>
    </row>
    <row r="117" spans="2:10" ht="12.75">
      <c r="B117" s="35" t="s">
        <v>576</v>
      </c>
      <c r="C117" s="118">
        <v>0</v>
      </c>
      <c r="D117" s="67">
        <v>0</v>
      </c>
      <c r="E117" s="125">
        <f t="shared" si="15"/>
        <v>0</v>
      </c>
      <c r="G117" s="118">
        <f t="shared" si="16"/>
        <v>0</v>
      </c>
      <c r="H117" s="67">
        <f t="shared" si="17"/>
        <v>0</v>
      </c>
      <c r="I117" s="125">
        <f t="shared" si="18"/>
        <v>0</v>
      </c>
      <c r="J117" s="159">
        <v>0</v>
      </c>
    </row>
    <row r="118" spans="2:10" ht="12.75">
      <c r="B118" s="35" t="s">
        <v>577</v>
      </c>
      <c r="C118" s="118">
        <v>0</v>
      </c>
      <c r="D118" s="67">
        <v>0</v>
      </c>
      <c r="E118" s="125">
        <f t="shared" si="15"/>
        <v>0</v>
      </c>
      <c r="G118" s="118">
        <f t="shared" si="16"/>
        <v>0</v>
      </c>
      <c r="H118" s="67">
        <f t="shared" si="17"/>
        <v>0</v>
      </c>
      <c r="I118" s="125">
        <f t="shared" si="18"/>
        <v>0</v>
      </c>
      <c r="J118" s="159">
        <v>0</v>
      </c>
    </row>
    <row r="119" spans="2:10" ht="12.75">
      <c r="B119" s="35" t="s">
        <v>41</v>
      </c>
      <c r="C119" s="118">
        <f>C86</f>
        <v>620</v>
      </c>
      <c r="D119" s="44">
        <f>D84</f>
        <v>0</v>
      </c>
      <c r="E119" s="118">
        <f>E86</f>
        <v>620</v>
      </c>
      <c r="G119" s="118">
        <f>C119+J119</f>
        <v>620</v>
      </c>
      <c r="H119" s="44">
        <f>H84</f>
        <v>0</v>
      </c>
      <c r="I119" s="118">
        <f>G119+H119</f>
        <v>620</v>
      </c>
      <c r="J119" s="159">
        <v>0</v>
      </c>
    </row>
    <row r="120" spans="2:10" ht="12.75">
      <c r="B120" s="30" t="s">
        <v>569</v>
      </c>
      <c r="C120" s="120">
        <f>SUM(C111:C119)</f>
        <v>620</v>
      </c>
      <c r="D120" s="40">
        <f>SUM(D111:D119)</f>
        <v>0</v>
      </c>
      <c r="E120" s="120">
        <f>SUM(E111:E119)</f>
        <v>620</v>
      </c>
      <c r="G120" s="120">
        <f>SUM(G111:G119)</f>
        <v>620</v>
      </c>
      <c r="H120" s="40">
        <f>SUM(H111:H119)</f>
        <v>0</v>
      </c>
      <c r="I120" s="120">
        <f>SUM(I111:I119)</f>
        <v>620</v>
      </c>
      <c r="J120" s="160">
        <f>SUM(J111:J119)</f>
        <v>0</v>
      </c>
    </row>
    <row r="121" spans="2:10" ht="12.75">
      <c r="B121" s="30"/>
      <c r="C121" s="118"/>
      <c r="D121" s="44"/>
      <c r="E121" s="118"/>
      <c r="G121" s="118"/>
      <c r="H121" s="44"/>
      <c r="I121" s="118"/>
      <c r="J121" s="159"/>
    </row>
    <row r="122" spans="2:10" ht="16.5" thickBot="1">
      <c r="B122" s="64" t="s">
        <v>578</v>
      </c>
      <c r="C122" s="127">
        <f>C109+C120</f>
        <v>620</v>
      </c>
      <c r="D122" s="128">
        <f>D109+D120</f>
        <v>0</v>
      </c>
      <c r="E122" s="127">
        <f>E109+E120</f>
        <v>620</v>
      </c>
      <c r="G122" s="127">
        <f>G109+G120</f>
        <v>620</v>
      </c>
      <c r="H122" s="128">
        <f>H109+H120</f>
        <v>0</v>
      </c>
      <c r="I122" s="127">
        <f>I109+I120</f>
        <v>620</v>
      </c>
      <c r="J122" s="161">
        <f>J109+J120</f>
        <v>0</v>
      </c>
    </row>
    <row r="123" spans="2:10" s="1" customFormat="1" ht="16.5" thickTop="1">
      <c r="B123" s="64"/>
      <c r="C123" s="44"/>
      <c r="D123" s="44"/>
      <c r="E123" s="44"/>
      <c r="G123" s="44"/>
      <c r="H123" s="44"/>
      <c r="I123" s="44"/>
      <c r="J123" s="67"/>
    </row>
    <row r="124" spans="2:10" s="1" customFormat="1" ht="15.75">
      <c r="B124" s="64"/>
      <c r="C124" s="44"/>
      <c r="D124" s="44"/>
      <c r="E124" s="44"/>
      <c r="G124" s="44"/>
      <c r="H124" s="44"/>
      <c r="I124" s="44"/>
      <c r="J124" s="67"/>
    </row>
    <row r="125" spans="2:10" s="1" customFormat="1" ht="12.75">
      <c r="B125" s="41"/>
      <c r="C125" s="41"/>
      <c r="G125" s="41"/>
      <c r="J125" s="67"/>
    </row>
    <row r="126" spans="2:10" s="1" customFormat="1" ht="12.75">
      <c r="B126" s="41"/>
      <c r="C126" s="41"/>
      <c r="G126" s="41"/>
      <c r="J126" s="67"/>
    </row>
    <row r="127" spans="2:10" s="1" customFormat="1" ht="12.75">
      <c r="B127" s="41"/>
      <c r="J127" s="67"/>
    </row>
    <row r="128" spans="2:10" ht="30">
      <c r="B128" s="27" t="s">
        <v>554</v>
      </c>
      <c r="C128" s="22" t="s">
        <v>493</v>
      </c>
      <c r="D128" s="115" t="s">
        <v>494</v>
      </c>
      <c r="E128" s="22" t="s">
        <v>493</v>
      </c>
      <c r="G128" s="22" t="s">
        <v>493</v>
      </c>
      <c r="H128" s="115" t="s">
        <v>495</v>
      </c>
      <c r="I128" s="22" t="s">
        <v>493</v>
      </c>
      <c r="J128" s="155" t="s">
        <v>493</v>
      </c>
    </row>
    <row r="129" spans="2:10" ht="12.75">
      <c r="B129" s="66" t="s">
        <v>499</v>
      </c>
      <c r="C129" s="24" t="s">
        <v>496</v>
      </c>
      <c r="D129" s="54" t="s">
        <v>496</v>
      </c>
      <c r="E129" s="24" t="s">
        <v>496</v>
      </c>
      <c r="G129" s="24" t="s">
        <v>496</v>
      </c>
      <c r="H129" s="54" t="s">
        <v>496</v>
      </c>
      <c r="I129" s="24" t="s">
        <v>496</v>
      </c>
      <c r="J129" s="156" t="s">
        <v>496</v>
      </c>
    </row>
    <row r="130" spans="2:10" ht="12.75">
      <c r="B130" s="66"/>
      <c r="C130" s="28" t="s">
        <v>966</v>
      </c>
      <c r="D130" s="29" t="s">
        <v>966</v>
      </c>
      <c r="E130" s="28" t="s">
        <v>966</v>
      </c>
      <c r="G130" s="28" t="s">
        <v>966</v>
      </c>
      <c r="H130" s="29" t="s">
        <v>966</v>
      </c>
      <c r="I130" s="28" t="s">
        <v>966</v>
      </c>
      <c r="J130" s="157" t="s">
        <v>966</v>
      </c>
    </row>
    <row r="131" spans="2:10" ht="15">
      <c r="B131" s="33" t="s">
        <v>579</v>
      </c>
      <c r="C131" s="116" t="s">
        <v>500</v>
      </c>
      <c r="D131" s="117" t="s">
        <v>1596</v>
      </c>
      <c r="E131" s="116" t="s">
        <v>501</v>
      </c>
      <c r="G131" s="116" t="s">
        <v>500</v>
      </c>
      <c r="H131" s="117" t="s">
        <v>1486</v>
      </c>
      <c r="I131" s="116" t="s">
        <v>501</v>
      </c>
      <c r="J131" s="158" t="s">
        <v>1488</v>
      </c>
    </row>
    <row r="132" spans="2:10" ht="12.75">
      <c r="B132" s="62" t="s">
        <v>580</v>
      </c>
      <c r="C132" s="114"/>
      <c r="D132" s="1"/>
      <c r="E132" s="114"/>
      <c r="G132" s="114"/>
      <c r="H132" s="1"/>
      <c r="I132" s="114"/>
      <c r="J132" s="159"/>
    </row>
    <row r="133" spans="2:10" ht="12.75">
      <c r="B133" s="35" t="s">
        <v>581</v>
      </c>
      <c r="C133" s="118">
        <v>512</v>
      </c>
      <c r="D133" s="67">
        <f>D45</f>
        <v>0</v>
      </c>
      <c r="E133" s="125">
        <f>C133+D133</f>
        <v>512</v>
      </c>
      <c r="G133" s="118">
        <f>6953043+J133</f>
        <v>5832168</v>
      </c>
      <c r="H133" s="67">
        <f>H45</f>
        <v>0</v>
      </c>
      <c r="I133" s="125">
        <f>G133+H133</f>
        <v>5832168</v>
      </c>
      <c r="J133" s="159">
        <v>-1120875</v>
      </c>
    </row>
    <row r="134" spans="2:10" ht="12.75">
      <c r="B134" s="35" t="s">
        <v>582</v>
      </c>
      <c r="C134" s="118">
        <v>0</v>
      </c>
      <c r="D134" s="1">
        <v>0</v>
      </c>
      <c r="E134" s="125">
        <f>C134+D134</f>
        <v>0</v>
      </c>
      <c r="G134" s="118">
        <f>2522+J134</f>
        <v>3453</v>
      </c>
      <c r="H134" s="67">
        <f>D134</f>
        <v>0</v>
      </c>
      <c r="I134" s="125">
        <f>G134+H134</f>
        <v>3453</v>
      </c>
      <c r="J134" s="159">
        <v>931</v>
      </c>
    </row>
    <row r="135" spans="2:10" ht="12.75">
      <c r="B135" s="35" t="s">
        <v>583</v>
      </c>
      <c r="C135" s="118">
        <v>0</v>
      </c>
      <c r="D135" s="1">
        <v>0</v>
      </c>
      <c r="E135" s="125">
        <f>C135+D135</f>
        <v>0</v>
      </c>
      <c r="G135" s="118">
        <v>0</v>
      </c>
      <c r="H135" s="67">
        <f>D135</f>
        <v>0</v>
      </c>
      <c r="I135" s="125">
        <f>G135+H135</f>
        <v>0</v>
      </c>
      <c r="J135" s="159">
        <v>0</v>
      </c>
    </row>
    <row r="136" spans="2:10" ht="12.75">
      <c r="B136" s="30" t="s">
        <v>580</v>
      </c>
      <c r="C136" s="120">
        <f>SUM(C133:C135)</f>
        <v>512</v>
      </c>
      <c r="D136" s="40">
        <f>SUM(D133:D135)</f>
        <v>0</v>
      </c>
      <c r="E136" s="120">
        <f>SUM(E133:E135)</f>
        <v>512</v>
      </c>
      <c r="G136" s="120">
        <f>SUM(G133:G135)</f>
        <v>5835621</v>
      </c>
      <c r="H136" s="40">
        <f>SUM(H133:H135)</f>
        <v>0</v>
      </c>
      <c r="I136" s="120">
        <f>SUM(I133:I135)</f>
        <v>5835621</v>
      </c>
      <c r="J136" s="160">
        <f>SUM(J133:J135)</f>
        <v>-1119944</v>
      </c>
    </row>
    <row r="137" spans="2:10" ht="12.75">
      <c r="B137" s="62" t="s">
        <v>584</v>
      </c>
      <c r="C137" s="118"/>
      <c r="D137" s="1"/>
      <c r="E137" s="114"/>
      <c r="G137" s="118"/>
      <c r="H137" s="1"/>
      <c r="I137" s="114"/>
      <c r="J137" s="159"/>
    </row>
    <row r="138" spans="2:10" ht="12.75">
      <c r="B138" s="35" t="s">
        <v>585</v>
      </c>
      <c r="C138" s="118">
        <v>0</v>
      </c>
      <c r="D138" s="67">
        <f>D50</f>
        <v>0</v>
      </c>
      <c r="E138" s="125">
        <f>C138+D138</f>
        <v>0</v>
      </c>
      <c r="G138" s="118">
        <f>3573941+J138</f>
        <v>3676601</v>
      </c>
      <c r="H138" s="67">
        <f>H50</f>
        <v>0</v>
      </c>
      <c r="I138" s="125">
        <f>G138+H138</f>
        <v>3676601</v>
      </c>
      <c r="J138" s="159">
        <v>102660</v>
      </c>
    </row>
    <row r="139" spans="2:10" ht="12.75">
      <c r="B139" s="35" t="s">
        <v>586</v>
      </c>
      <c r="C139" s="118">
        <v>0</v>
      </c>
      <c r="D139" s="1">
        <v>0</v>
      </c>
      <c r="E139" s="125">
        <f>C139+D139</f>
        <v>0</v>
      </c>
      <c r="G139" s="118">
        <v>0</v>
      </c>
      <c r="H139" s="1">
        <f>D139</f>
        <v>0</v>
      </c>
      <c r="I139" s="125">
        <f>G139+H139</f>
        <v>0</v>
      </c>
      <c r="J139" s="159">
        <v>0</v>
      </c>
    </row>
    <row r="140" spans="2:10" ht="12.75">
      <c r="B140" s="30" t="s">
        <v>584</v>
      </c>
      <c r="C140" s="120">
        <f>SUM(C138:C139)</f>
        <v>0</v>
      </c>
      <c r="D140" s="40">
        <f>SUM(D138:D139)</f>
        <v>0</v>
      </c>
      <c r="E140" s="120">
        <f>SUM(E138:E139)</f>
        <v>0</v>
      </c>
      <c r="G140" s="120">
        <f>SUM(G138:G139)</f>
        <v>3676601</v>
      </c>
      <c r="H140" s="40">
        <f>SUM(H138:H139)</f>
        <v>0</v>
      </c>
      <c r="I140" s="120">
        <f>SUM(I138:I139)</f>
        <v>3676601</v>
      </c>
      <c r="J140" s="160">
        <f>SUM(J138:J139)</f>
        <v>102660</v>
      </c>
    </row>
    <row r="141" spans="2:10" ht="12.75">
      <c r="B141" s="62" t="s">
        <v>587</v>
      </c>
      <c r="C141" s="118"/>
      <c r="D141" s="1"/>
      <c r="E141" s="114"/>
      <c r="G141" s="118"/>
      <c r="H141" s="1"/>
      <c r="I141" s="114"/>
      <c r="J141" s="159"/>
    </row>
    <row r="142" spans="2:10" ht="12.75">
      <c r="B142" s="35" t="s">
        <v>588</v>
      </c>
      <c r="C142" s="118">
        <v>0</v>
      </c>
      <c r="D142" s="1">
        <v>0</v>
      </c>
      <c r="E142" s="125">
        <f>C142+D142</f>
        <v>0</v>
      </c>
      <c r="G142" s="118">
        <f>1835744+J142</f>
        <v>1817925</v>
      </c>
      <c r="H142" s="1">
        <f>D142</f>
        <v>0</v>
      </c>
      <c r="I142" s="125">
        <f>G142+H142</f>
        <v>1817925</v>
      </c>
      <c r="J142" s="159">
        <v>-17819</v>
      </c>
    </row>
    <row r="143" spans="2:10" ht="12.75">
      <c r="B143" s="35" t="s">
        <v>589</v>
      </c>
      <c r="C143" s="118">
        <v>0</v>
      </c>
      <c r="D143" s="1">
        <v>0</v>
      </c>
      <c r="E143" s="125">
        <f>C143+D143</f>
        <v>0</v>
      </c>
      <c r="G143" s="118">
        <v>0</v>
      </c>
      <c r="H143" s="1">
        <f>D143</f>
        <v>0</v>
      </c>
      <c r="I143" s="125">
        <f>G143+H143</f>
        <v>0</v>
      </c>
      <c r="J143" s="159">
        <v>0</v>
      </c>
    </row>
    <row r="144" spans="2:10" ht="12.75">
      <c r="B144" s="35" t="s">
        <v>590</v>
      </c>
      <c r="C144" s="118">
        <v>0</v>
      </c>
      <c r="D144" s="1">
        <v>0</v>
      </c>
      <c r="E144" s="125">
        <f>C144+D144</f>
        <v>0</v>
      </c>
      <c r="G144" s="118">
        <v>0</v>
      </c>
      <c r="H144" s="1">
        <f>D144</f>
        <v>0</v>
      </c>
      <c r="I144" s="125">
        <f>G144+H144</f>
        <v>0</v>
      </c>
      <c r="J144" s="159">
        <v>0</v>
      </c>
    </row>
    <row r="145" spans="2:10" ht="12.75">
      <c r="B145" s="35" t="s">
        <v>591</v>
      </c>
      <c r="C145" s="118">
        <v>0</v>
      </c>
      <c r="D145" s="1">
        <v>0</v>
      </c>
      <c r="E145" s="125">
        <f>C145+D145</f>
        <v>0</v>
      </c>
      <c r="G145" s="118">
        <v>0</v>
      </c>
      <c r="H145" s="1">
        <f>D145</f>
        <v>0</v>
      </c>
      <c r="I145" s="125">
        <f>G145+H145</f>
        <v>0</v>
      </c>
      <c r="J145" s="159">
        <v>0</v>
      </c>
    </row>
    <row r="146" spans="2:10" ht="12.75">
      <c r="B146" s="30" t="s">
        <v>587</v>
      </c>
      <c r="C146" s="120">
        <f>SUM(C142:C145)</f>
        <v>0</v>
      </c>
      <c r="D146" s="40">
        <f>SUM(D142:D145)</f>
        <v>0</v>
      </c>
      <c r="E146" s="120">
        <f>SUM(E142:E145)</f>
        <v>0</v>
      </c>
      <c r="G146" s="120">
        <f>SUM(G142:G145)</f>
        <v>1817925</v>
      </c>
      <c r="H146" s="40">
        <f>SUM(H142:H145)</f>
        <v>0</v>
      </c>
      <c r="I146" s="120">
        <f>SUM(I142:I145)</f>
        <v>1817925</v>
      </c>
      <c r="J146" s="160">
        <f>SUM(J142:J145)</f>
        <v>-17819</v>
      </c>
    </row>
    <row r="147" spans="2:10" ht="12.75">
      <c r="B147" s="62" t="s">
        <v>592</v>
      </c>
      <c r="C147" s="118"/>
      <c r="D147" s="1"/>
      <c r="E147" s="114"/>
      <c r="G147" s="118"/>
      <c r="H147" s="1"/>
      <c r="I147" s="114"/>
      <c r="J147" s="159"/>
    </row>
    <row r="148" spans="2:10" ht="12.75">
      <c r="B148" s="35" t="s">
        <v>588</v>
      </c>
      <c r="C148" s="118">
        <v>0</v>
      </c>
      <c r="D148" s="1">
        <v>0</v>
      </c>
      <c r="E148" s="125">
        <f>C148+D148</f>
        <v>0</v>
      </c>
      <c r="G148" s="118">
        <v>0</v>
      </c>
      <c r="H148" s="1">
        <f>D148</f>
        <v>0</v>
      </c>
      <c r="I148" s="125">
        <f>G148+H148</f>
        <v>0</v>
      </c>
      <c r="J148" s="159">
        <v>0</v>
      </c>
    </row>
    <row r="149" spans="2:10" ht="12.75">
      <c r="B149" s="35" t="s">
        <v>593</v>
      </c>
      <c r="C149" s="118">
        <v>0</v>
      </c>
      <c r="D149" s="1">
        <v>0</v>
      </c>
      <c r="E149" s="125">
        <f aca="true" t="shared" si="19" ref="E149:E157">C149+D149</f>
        <v>0</v>
      </c>
      <c r="G149" s="118">
        <f>67464+J149</f>
        <v>234546</v>
      </c>
      <c r="H149" s="1">
        <f aca="true" t="shared" si="20" ref="H149:H157">D149</f>
        <v>0</v>
      </c>
      <c r="I149" s="125">
        <f aca="true" t="shared" si="21" ref="I149:I157">G149+H149</f>
        <v>234546</v>
      </c>
      <c r="J149" s="159">
        <v>167082</v>
      </c>
    </row>
    <row r="150" spans="2:10" ht="12.75">
      <c r="B150" s="35" t="s">
        <v>590</v>
      </c>
      <c r="C150" s="118">
        <v>108</v>
      </c>
      <c r="D150" s="1">
        <v>0</v>
      </c>
      <c r="E150" s="125">
        <f t="shared" si="19"/>
        <v>108</v>
      </c>
      <c r="G150" s="118">
        <f>0+J150</f>
        <v>681</v>
      </c>
      <c r="H150" s="1">
        <f t="shared" si="20"/>
        <v>0</v>
      </c>
      <c r="I150" s="125">
        <f t="shared" si="21"/>
        <v>681</v>
      </c>
      <c r="J150" s="159">
        <v>681</v>
      </c>
    </row>
    <row r="151" spans="2:10" ht="12.75">
      <c r="B151" s="35" t="s">
        <v>594</v>
      </c>
      <c r="C151" s="118">
        <v>0</v>
      </c>
      <c r="D151" s="1">
        <v>0</v>
      </c>
      <c r="E151" s="125">
        <f t="shared" si="19"/>
        <v>0</v>
      </c>
      <c r="G151" s="118">
        <f>310107+J151</f>
        <v>306446</v>
      </c>
      <c r="H151" s="1">
        <f t="shared" si="20"/>
        <v>0</v>
      </c>
      <c r="I151" s="125">
        <f t="shared" si="21"/>
        <v>306446</v>
      </c>
      <c r="J151" s="159">
        <v>-3661</v>
      </c>
    </row>
    <row r="152" spans="2:10" ht="12.75">
      <c r="B152" s="69" t="s">
        <v>595</v>
      </c>
      <c r="C152" s="118">
        <v>0</v>
      </c>
      <c r="D152" s="1">
        <v>0</v>
      </c>
      <c r="E152" s="125">
        <f t="shared" si="19"/>
        <v>0</v>
      </c>
      <c r="G152" s="118">
        <f>67000+J152</f>
        <v>52013</v>
      </c>
      <c r="H152" s="1">
        <f t="shared" si="20"/>
        <v>0</v>
      </c>
      <c r="I152" s="125">
        <f t="shared" si="21"/>
        <v>52013</v>
      </c>
      <c r="J152" s="159">
        <v>-14987</v>
      </c>
    </row>
    <row r="153" spans="2:10" ht="12.75">
      <c r="B153" s="35" t="s">
        <v>596</v>
      </c>
      <c r="C153" s="118">
        <v>0</v>
      </c>
      <c r="D153" s="1">
        <v>0</v>
      </c>
      <c r="E153" s="125">
        <f t="shared" si="19"/>
        <v>0</v>
      </c>
      <c r="G153" s="118">
        <v>0</v>
      </c>
      <c r="H153" s="1">
        <f t="shared" si="20"/>
        <v>0</v>
      </c>
      <c r="I153" s="125">
        <f t="shared" si="21"/>
        <v>0</v>
      </c>
      <c r="J153" s="159">
        <v>0</v>
      </c>
    </row>
    <row r="154" spans="2:10" ht="12.75">
      <c r="B154" s="35" t="s">
        <v>597</v>
      </c>
      <c r="C154" s="118">
        <v>0</v>
      </c>
      <c r="D154" s="1">
        <v>0</v>
      </c>
      <c r="E154" s="125">
        <f t="shared" si="19"/>
        <v>0</v>
      </c>
      <c r="G154" s="118">
        <v>0</v>
      </c>
      <c r="H154" s="1">
        <f t="shared" si="20"/>
        <v>0</v>
      </c>
      <c r="I154" s="125">
        <f t="shared" si="21"/>
        <v>0</v>
      </c>
      <c r="J154" s="159">
        <v>0</v>
      </c>
    </row>
    <row r="155" spans="2:10" ht="12.75">
      <c r="B155" s="35" t="s">
        <v>598</v>
      </c>
      <c r="C155" s="118">
        <v>0</v>
      </c>
      <c r="D155" s="1">
        <v>0</v>
      </c>
      <c r="E155" s="125">
        <f t="shared" si="19"/>
        <v>0</v>
      </c>
      <c r="G155" s="118">
        <v>0</v>
      </c>
      <c r="H155" s="1">
        <f t="shared" si="20"/>
        <v>0</v>
      </c>
      <c r="I155" s="125">
        <f t="shared" si="21"/>
        <v>0</v>
      </c>
      <c r="J155" s="159">
        <v>0</v>
      </c>
    </row>
    <row r="156" spans="2:10" ht="12.75">
      <c r="B156" s="35" t="s">
        <v>599</v>
      </c>
      <c r="C156" s="118">
        <v>0</v>
      </c>
      <c r="D156" s="1">
        <v>0</v>
      </c>
      <c r="E156" s="125">
        <f t="shared" si="19"/>
        <v>0</v>
      </c>
      <c r="G156" s="118">
        <f>252116+J156</f>
        <v>397214</v>
      </c>
      <c r="H156" s="1">
        <f t="shared" si="20"/>
        <v>0</v>
      </c>
      <c r="I156" s="125">
        <f t="shared" si="21"/>
        <v>397214</v>
      </c>
      <c r="J156" s="159">
        <v>145098</v>
      </c>
    </row>
    <row r="157" spans="2:10" ht="409.5">
      <c r="B157" s="35" t="s">
        <v>600</v>
      </c>
      <c r="C157" s="118">
        <v>0</v>
      </c>
      <c r="D157" s="1">
        <v>0</v>
      </c>
      <c r="E157" s="125">
        <f t="shared" si="19"/>
        <v>0</v>
      </c>
      <c r="G157" s="118">
        <v>0</v>
      </c>
      <c r="H157" s="1">
        <f t="shared" si="20"/>
        <v>0</v>
      </c>
      <c r="I157" s="125">
        <f t="shared" si="21"/>
        <v>0</v>
      </c>
      <c r="J157" s="159">
        <v>0</v>
      </c>
    </row>
    <row r="158" spans="2:10" ht="409.5">
      <c r="B158" s="30" t="s">
        <v>592</v>
      </c>
      <c r="C158" s="120">
        <f>SUM(C148:C157)</f>
        <v>108</v>
      </c>
      <c r="D158" s="40">
        <f>SUM(D148:D157)</f>
        <v>0</v>
      </c>
      <c r="E158" s="120">
        <f>SUM(E148:E157)</f>
        <v>108</v>
      </c>
      <c r="G158" s="120">
        <f>SUM(G148:G157)</f>
        <v>990900</v>
      </c>
      <c r="H158" s="40">
        <f>SUM(H148:H157)</f>
        <v>0</v>
      </c>
      <c r="I158" s="120">
        <f>SUM(I148:I157)</f>
        <v>990900</v>
      </c>
      <c r="J158" s="160">
        <f>SUM(J148:J157)</f>
        <v>294213</v>
      </c>
    </row>
    <row r="159" spans="2:10" ht="409.5">
      <c r="B159" s="30"/>
      <c r="C159" s="118"/>
      <c r="D159" s="1"/>
      <c r="E159" s="114"/>
      <c r="G159" s="118"/>
      <c r="H159" s="1"/>
      <c r="I159" s="114"/>
      <c r="J159" s="159"/>
    </row>
    <row r="160" spans="2:10" ht="409.5">
      <c r="B160" s="57" t="s">
        <v>601</v>
      </c>
      <c r="C160" s="120">
        <f>C140+C146+C158</f>
        <v>108</v>
      </c>
      <c r="D160" s="40">
        <f>D140+D146+D158</f>
        <v>0</v>
      </c>
      <c r="E160" s="120">
        <f>E140+E146+E158</f>
        <v>108</v>
      </c>
      <c r="G160" s="120">
        <f>G140+G146+G158</f>
        <v>6485426</v>
      </c>
      <c r="H160" s="40">
        <f>H140+H146+H158</f>
        <v>0</v>
      </c>
      <c r="I160" s="120">
        <f>I140+I146+I158</f>
        <v>6485426</v>
      </c>
      <c r="J160" s="160">
        <f>J140+J146+J158</f>
        <v>379054</v>
      </c>
    </row>
    <row r="161" spans="2:10" ht="409.5">
      <c r="B161" s="30"/>
      <c r="C161" s="118"/>
      <c r="D161" s="44"/>
      <c r="E161" s="118"/>
      <c r="G161" s="118"/>
      <c r="H161" s="44"/>
      <c r="I161" s="118"/>
      <c r="J161" s="159"/>
    </row>
    <row r="162" spans="2:10" ht="16.5" thickBot="1">
      <c r="B162" s="64" t="s">
        <v>602</v>
      </c>
      <c r="C162" s="127">
        <f>C136+C160</f>
        <v>620</v>
      </c>
      <c r="D162" s="127">
        <f>D136+D160</f>
        <v>0</v>
      </c>
      <c r="E162" s="127">
        <f>E136+E160</f>
        <v>620</v>
      </c>
      <c r="G162" s="127">
        <f>G136+G160</f>
        <v>12321047</v>
      </c>
      <c r="H162" s="128">
        <f>H136+H160</f>
        <v>0</v>
      </c>
      <c r="I162" s="127">
        <f>I136+I160</f>
        <v>12321047</v>
      </c>
      <c r="J162" s="161">
        <f>J136+J160</f>
        <v>-740890</v>
      </c>
    </row>
    <row r="163" spans="8:10" ht="13.5" thickTop="1">
      <c r="H163" s="1"/>
      <c r="J163" s="3"/>
    </row>
    <row r="164" spans="8:10" ht="409.5">
      <c r="H164" s="1"/>
      <c r="J164" s="3"/>
    </row>
    <row r="165" spans="2:10" ht="409.5" outlineLevel="1">
      <c r="B165" t="s">
        <v>603</v>
      </c>
      <c r="C165" s="3">
        <f>C122-C162</f>
        <v>0</v>
      </c>
      <c r="D165" s="3">
        <f>D122-D162</f>
        <v>0</v>
      </c>
      <c r="E165" s="3">
        <f>E122-E162</f>
        <v>0</v>
      </c>
      <c r="G165" s="3">
        <f>G122-G162</f>
        <v>-12320427</v>
      </c>
      <c r="H165" s="67">
        <f>H122-H162</f>
        <v>0</v>
      </c>
      <c r="I165" s="3">
        <f>I122-I162</f>
        <v>-12320427</v>
      </c>
      <c r="J165" s="3">
        <f>J122-J162</f>
        <v>740890</v>
      </c>
    </row>
  </sheetData>
  <sheetProtection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Steinar Adolfsson</cp:lastModifiedBy>
  <cp:lastPrinted>2017-09-12T09:17:45Z</cp:lastPrinted>
  <dcterms:created xsi:type="dcterms:W3CDTF">1996-10-14T23:33:28Z</dcterms:created>
  <dcterms:modified xsi:type="dcterms:W3CDTF">2018-04-08T16:16:54Z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_Subject">
    <vt:lpwstr>Viðauki nr.1</vt:lpwstr>
  </property>
  <property fmtid="{D5CDD505-2E9C-101B-9397-08002B2CF9AE}" pid="3" name="One_Number">
    <vt:lpwstr/>
  </property>
  <property fmtid="{D5CDD505-2E9C-101B-9397-08002B2CF9AE}" pid="4" name="One_Employee">
    <vt:lpwstr/>
  </property>
  <property fmtid="{D5CDD505-2E9C-101B-9397-08002B2CF9AE}" pid="5" name="One_Status">
    <vt:lpwstr/>
  </property>
  <property fmtid="{D5CDD505-2E9C-101B-9397-08002B2CF9AE}" pid="6" name="One_FileVersion">
    <vt:lpwstr>0.1</vt:lpwstr>
  </property>
  <property fmtid="{D5CDD505-2E9C-101B-9397-08002B2CF9AE}" pid="7" name="One_FileComment">
    <vt:lpwstr/>
  </property>
  <property fmtid="{D5CDD505-2E9C-101B-9397-08002B2CF9AE}" pid="8" name="One_Author">
    <vt:lpwstr>Andrés Ólafsson</vt:lpwstr>
  </property>
  <property fmtid="{D5CDD505-2E9C-101B-9397-08002B2CF9AE}" pid="9" name="One_PublishDate">
    <vt:lpwstr/>
  </property>
  <property fmtid="{D5CDD505-2E9C-101B-9397-08002B2CF9AE}" pid="10" name="OneQuality_Handbooks">
    <vt:lpwstr/>
  </property>
  <property fmtid="{D5CDD505-2E9C-101B-9397-08002B2CF9AE}" pid="11" name="OneQuality_Processes">
    <vt:lpwstr/>
  </property>
  <property fmtid="{D5CDD505-2E9C-101B-9397-08002B2CF9AE}" pid="12" name="OneQuality_QualityItemType">
    <vt:lpwstr/>
  </property>
  <property fmtid="{D5CDD505-2E9C-101B-9397-08002B2CF9AE}" pid="13" name="OneQuality_ReviewSettings">
    <vt:lpwstr/>
  </property>
</Properties>
</file>